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35" windowWidth="11655" windowHeight="6285" tabRatio="860" activeTab="5"/>
  </bookViews>
  <sheets>
    <sheet name="Inputs " sheetId="214" r:id="rId1"/>
    <sheet name="Purchase Price and DS Calcs" sheetId="217" r:id="rId2"/>
    <sheet name="Current PPA Cost" sheetId="75" r:id="rId3"/>
    <sheet name="Prepay Calculation" sheetId="27" r:id="rId4"/>
    <sheet name="Conduit EBITDA and CF" sheetId="8" r:id="rId5"/>
    <sheet name="GRU Benefit" sheetId="119" r:id="rId6"/>
    <sheet name="EQ BOOK DEPR" sheetId="24" r:id="rId7"/>
  </sheets>
  <definedNames>
    <definedName name="adminfee">'Inputs '!$M$34</definedName>
    <definedName name="adminfeegrowthrate">'Inputs '!$M$35</definedName>
    <definedName name="AnnualCapitalInvestment">'Inputs '!$M$38</definedName>
    <definedName name="Availability__Base_case">'Inputs '!$C$41</definedName>
    <definedName name="COIUDPercent">'Inputs '!$C$35</definedName>
    <definedName name="Equitypartofstructure">'Inputs '!$C$10</definedName>
    <definedName name="equityrate">'Inputs '!$C$30</definedName>
    <definedName name="equityTerm">'Inputs '!$C$26</definedName>
    <definedName name="ExpectedAvailability">'Inputs '!$C$41</definedName>
    <definedName name="ExpectedCapacity">'Inputs '!$C$40</definedName>
    <definedName name="FederalTaxRate" localSheetId="2">'Current PPA Cost'!#REF!</definedName>
    <definedName name="GRECongoingcapitalInvestments">'Inputs '!$M$39</definedName>
    <definedName name="GrossPurchasePrice">'Inputs '!$P$28</definedName>
    <definedName name="GRUBudgetedGRECCost">'Inputs '!$P$56</definedName>
    <definedName name="GRUPercentEquity">'Inputs '!$C$15</definedName>
    <definedName name="MarketPriceGrowthRt">'Inputs '!$D$54</definedName>
    <definedName name="MarketPriceofPower">'Inputs '!$C$54</definedName>
    <definedName name="NPVtoGRURate">'Inputs '!$C$32</definedName>
    <definedName name="OandMLOCAmount">'Inputs '!$M$36</definedName>
    <definedName name="OandMLOCFee">'Inputs '!$M$37</definedName>
    <definedName name="ParketPriceGrowthRate">'Inputs '!$D$54</definedName>
    <definedName name="PrepayCostperMwHGenerationChange">'Inputs '!$I$22:$N$26</definedName>
    <definedName name="Prepaydiscountrate">'Inputs '!$C$33</definedName>
    <definedName name="Prepaypartofstructure">'Inputs '!$C$9</definedName>
    <definedName name="prepayrate">'Inputs '!$C$31</definedName>
    <definedName name="prepayTerm">'Inputs '!$C$25</definedName>
    <definedName name="_xlnm.Print_Area" localSheetId="4">'Conduit EBITDA and CF'!$A$2:$I$69</definedName>
    <definedName name="_xlnm.Print_Area" localSheetId="2">'Current PPA Cost'!$A$2:$AG$58</definedName>
    <definedName name="_xlnm.Print_Area" localSheetId="6">'EQ BOOK DEPR'!$D$1:$AI$113</definedName>
    <definedName name="_xlnm.Print_Area" localSheetId="5">'GRU Benefit'!$A$2:$AK$62</definedName>
    <definedName name="_xlnm.Print_Area" localSheetId="0">'Inputs '!$A$1:$N$57</definedName>
    <definedName name="_xlnm.Print_Area" localSheetId="3">'Prepay Calculation'!$A$3:$AG$27</definedName>
    <definedName name="_xlnm.Print_Area" localSheetId="1">'Purchase Price and DS Calcs'!$A$1:$AI$52</definedName>
    <definedName name="_xlnm.Print_Titles" localSheetId="4">'Conduit EBITDA and CF'!$D:$D</definedName>
    <definedName name="_xlnm.Print_Titles" localSheetId="2">'Current PPA Cost'!$C:$C</definedName>
    <definedName name="_xlnm.Print_Titles" localSheetId="6">'EQ BOOK DEPR'!$E:$E</definedName>
    <definedName name="_xlnm.Print_Titles" localSheetId="5">'GRU Benefit'!$D:$D</definedName>
    <definedName name="_xlnm.Print_Titles" localSheetId="3">'Prepay Calculation'!$C:$C</definedName>
    <definedName name="RECs">'Inputs '!$M$32</definedName>
    <definedName name="RECsGrowthRate">'Inputs '!$M$33</definedName>
    <definedName name="RevRecIntRate">'Inputs '!$C$34</definedName>
    <definedName name="revrecterm">'Inputs '!$C$27</definedName>
    <definedName name="ScenarioAvailability">'Inputs '!$C$47</definedName>
    <definedName name="ScenarioCapacity">'Inputs '!$C$46</definedName>
    <definedName name="StateTaxRate" localSheetId="2">'Current PPA Cost'!#REF!</definedName>
    <definedName name="taxablepercentequity">'Inputs '!$C$16</definedName>
    <definedName name="Updated1603GrantMay">'Inputs '!$C$20</definedName>
    <definedName name="UpdatedInsuranceMay">'Inputs '!$C$5</definedName>
    <definedName name="UpdatedOandMMay">'Inputs '!$C$4</definedName>
    <definedName name="UpdatedTaxesMay">'Inputs '!$C$3</definedName>
  </definedNames>
  <calcPr calcId="145621" calcOnSave="0"/>
</workbook>
</file>

<file path=xl/calcChain.xml><?xml version="1.0" encoding="utf-8"?>
<calcChain xmlns="http://schemas.openxmlformats.org/spreadsheetml/2006/main">
  <c r="E12" i="27" l="1"/>
  <c r="C33" i="119"/>
  <c r="B33" i="119"/>
  <c r="C35" i="119"/>
  <c r="B35" i="119"/>
  <c r="C36" i="8"/>
  <c r="B36" i="8"/>
  <c r="C154" i="24" l="1"/>
  <c r="C151" i="24"/>
  <c r="C148" i="24"/>
  <c r="C145" i="24"/>
  <c r="C142" i="24"/>
  <c r="C139" i="24"/>
  <c r="C136" i="24"/>
  <c r="C133" i="24"/>
  <c r="C130" i="24"/>
  <c r="C127" i="24"/>
  <c r="C124" i="24"/>
  <c r="C121" i="24"/>
  <c r="C118" i="24"/>
  <c r="C115" i="24"/>
  <c r="C112" i="24"/>
  <c r="C109" i="24"/>
  <c r="C106" i="24"/>
  <c r="C103" i="24"/>
  <c r="C100" i="24"/>
  <c r="C97" i="24"/>
  <c r="C94" i="24"/>
  <c r="C91" i="24"/>
  <c r="C88" i="24"/>
  <c r="C85" i="24"/>
  <c r="C82" i="24"/>
  <c r="C79" i="24"/>
  <c r="C76" i="24"/>
  <c r="C73" i="24"/>
  <c r="C70" i="24"/>
  <c r="C67" i="24"/>
  <c r="C64" i="24"/>
  <c r="C61" i="24"/>
  <c r="C58" i="24"/>
  <c r="C55" i="24"/>
  <c r="C52" i="24"/>
  <c r="C49" i="24"/>
  <c r="C46" i="24"/>
  <c r="C43" i="24"/>
  <c r="C40" i="24"/>
  <c r="C37" i="24"/>
  <c r="C34" i="24"/>
  <c r="C31" i="24"/>
  <c r="C28" i="24"/>
  <c r="A26" i="24"/>
  <c r="A29" i="24" s="1"/>
  <c r="A32" i="24" s="1"/>
  <c r="A35" i="24" s="1"/>
  <c r="A38" i="24" s="1"/>
  <c r="A41" i="24" s="1"/>
  <c r="A44" i="24" s="1"/>
  <c r="A47" i="24" s="1"/>
  <c r="A50" i="24" s="1"/>
  <c r="A53" i="24" s="1"/>
  <c r="A56" i="24" s="1"/>
  <c r="A59" i="24" s="1"/>
  <c r="A62" i="24" s="1"/>
  <c r="A65" i="24" s="1"/>
  <c r="A68" i="24" s="1"/>
  <c r="A71" i="24" s="1"/>
  <c r="A74" i="24" s="1"/>
  <c r="A77" i="24" s="1"/>
  <c r="A80" i="24" s="1"/>
  <c r="A83" i="24" s="1"/>
  <c r="A86" i="24" s="1"/>
  <c r="A89" i="24" s="1"/>
  <c r="A92" i="24" s="1"/>
  <c r="A95" i="24" s="1"/>
  <c r="A98" i="24" s="1"/>
  <c r="A101" i="24" s="1"/>
  <c r="A104" i="24" s="1"/>
  <c r="A107" i="24" s="1"/>
  <c r="A110" i="24" s="1"/>
  <c r="A113" i="24" s="1"/>
  <c r="A116" i="24" s="1"/>
  <c r="A119" i="24" s="1"/>
  <c r="A122" i="24" s="1"/>
  <c r="A125" i="24" s="1"/>
  <c r="A128" i="24" s="1"/>
  <c r="A131" i="24" s="1"/>
  <c r="A134" i="24" s="1"/>
  <c r="A137" i="24" s="1"/>
  <c r="A140" i="24" s="1"/>
  <c r="A143" i="24" s="1"/>
  <c r="A146" i="24" s="1"/>
  <c r="A149" i="24" s="1"/>
  <c r="A152" i="24" s="1"/>
  <c r="A155" i="24" s="1"/>
  <c r="D25" i="24"/>
  <c r="D28" i="24" s="1"/>
  <c r="D31" i="24" s="1"/>
  <c r="D34" i="24" s="1"/>
  <c r="D37" i="24" s="1"/>
  <c r="D40" i="24" s="1"/>
  <c r="D43" i="24" s="1"/>
  <c r="D46" i="24" s="1"/>
  <c r="D49" i="24" s="1"/>
  <c r="D52" i="24" s="1"/>
  <c r="D55" i="24" s="1"/>
  <c r="D58" i="24" s="1"/>
  <c r="D61" i="24" s="1"/>
  <c r="D64" i="24" s="1"/>
  <c r="D67" i="24" s="1"/>
  <c r="D70" i="24" s="1"/>
  <c r="D73" i="24" s="1"/>
  <c r="D76" i="24" s="1"/>
  <c r="D79" i="24" s="1"/>
  <c r="D82" i="24" s="1"/>
  <c r="D85" i="24" s="1"/>
  <c r="D88" i="24" s="1"/>
  <c r="D91" i="24" s="1"/>
  <c r="D94" i="24" s="1"/>
  <c r="D97" i="24" s="1"/>
  <c r="D100" i="24" s="1"/>
  <c r="D103" i="24" s="1"/>
  <c r="D106" i="24" s="1"/>
  <c r="D109" i="24" s="1"/>
  <c r="D112" i="24" s="1"/>
  <c r="D115" i="24" s="1"/>
  <c r="D118" i="24" s="1"/>
  <c r="D121" i="24" s="1"/>
  <c r="D124" i="24" s="1"/>
  <c r="D127" i="24" s="1"/>
  <c r="D130" i="24" s="1"/>
  <c r="D133" i="24" s="1"/>
  <c r="D136" i="24" s="1"/>
  <c r="D139" i="24" s="1"/>
  <c r="D142" i="24" s="1"/>
  <c r="D145" i="24" s="1"/>
  <c r="D148" i="24" s="1"/>
  <c r="D151" i="24" s="1"/>
  <c r="D154" i="24" s="1"/>
  <c r="C25" i="24"/>
  <c r="B25" i="24"/>
  <c r="B28" i="24" s="1"/>
  <c r="B31" i="24" s="1"/>
  <c r="B34" i="24" s="1"/>
  <c r="B37" i="24" s="1"/>
  <c r="B40" i="24" s="1"/>
  <c r="B43" i="24" s="1"/>
  <c r="B46" i="24" s="1"/>
  <c r="B49" i="24" s="1"/>
  <c r="B52" i="24" s="1"/>
  <c r="B55" i="24" s="1"/>
  <c r="B58" i="24" s="1"/>
  <c r="B61" i="24" s="1"/>
  <c r="B64" i="24" s="1"/>
  <c r="B67" i="24" s="1"/>
  <c r="B70" i="24" s="1"/>
  <c r="B73" i="24" s="1"/>
  <c r="B76" i="24" s="1"/>
  <c r="B79" i="24" s="1"/>
  <c r="B82" i="24" s="1"/>
  <c r="B85" i="24" s="1"/>
  <c r="B88" i="24" s="1"/>
  <c r="B91" i="24" s="1"/>
  <c r="B94" i="24" s="1"/>
  <c r="B97" i="24" s="1"/>
  <c r="B100" i="24" s="1"/>
  <c r="B103" i="24" s="1"/>
  <c r="B106" i="24" s="1"/>
  <c r="B109" i="24" s="1"/>
  <c r="B112" i="24" s="1"/>
  <c r="B115" i="24" s="1"/>
  <c r="B118" i="24" s="1"/>
  <c r="B121" i="24" s="1"/>
  <c r="B124" i="24" s="1"/>
  <c r="B127" i="24" s="1"/>
  <c r="B130" i="24" s="1"/>
  <c r="B133" i="24" s="1"/>
  <c r="B136" i="24" s="1"/>
  <c r="B139" i="24" s="1"/>
  <c r="B142" i="24" s="1"/>
  <c r="B145" i="24" s="1"/>
  <c r="B148" i="24" s="1"/>
  <c r="B151" i="24" s="1"/>
  <c r="B154" i="24" s="1"/>
  <c r="C22" i="24"/>
  <c r="AW7" i="24"/>
  <c r="AW12" i="24" s="1"/>
  <c r="AV7" i="24"/>
  <c r="AU7" i="24"/>
  <c r="AT7" i="24"/>
  <c r="AT12" i="24" s="1"/>
  <c r="AS7" i="24"/>
  <c r="AR7" i="24"/>
  <c r="AR12" i="24" s="1"/>
  <c r="AQ7" i="24"/>
  <c r="AP7" i="24"/>
  <c r="AP12" i="24" s="1"/>
  <c r="AO7" i="24"/>
  <c r="AN7" i="24"/>
  <c r="AM7" i="24"/>
  <c r="AL7" i="24"/>
  <c r="AL12" i="24" s="1"/>
  <c r="AK7" i="24"/>
  <c r="AJ7" i="24"/>
  <c r="AJ12" i="24" s="1"/>
  <c r="F7" i="24"/>
  <c r="G4" i="24"/>
  <c r="H4" i="24" s="1"/>
  <c r="I4" i="24" s="1"/>
  <c r="J4" i="24" s="1"/>
  <c r="K4" i="24" s="1"/>
  <c r="L4" i="24" s="1"/>
  <c r="M4" i="24" s="1"/>
  <c r="N4" i="24" s="1"/>
  <c r="O4" i="24" s="1"/>
  <c r="P4" i="24" s="1"/>
  <c r="Q4" i="24" s="1"/>
  <c r="R4" i="24" s="1"/>
  <c r="S4" i="24" s="1"/>
  <c r="T4" i="24" s="1"/>
  <c r="U4" i="24" s="1"/>
  <c r="V4" i="24" s="1"/>
  <c r="W4" i="24" s="1"/>
  <c r="X4" i="24" s="1"/>
  <c r="Y4" i="24" s="1"/>
  <c r="Z4" i="24" s="1"/>
  <c r="AA4" i="24" s="1"/>
  <c r="AB4" i="24" s="1"/>
  <c r="AC4" i="24" s="1"/>
  <c r="AD4" i="24" s="1"/>
  <c r="AE4" i="24" s="1"/>
  <c r="AF4" i="24" s="1"/>
  <c r="AG4" i="24" s="1"/>
  <c r="AH4" i="24" s="1"/>
  <c r="AI4" i="24" s="1"/>
  <c r="AJ4" i="24" s="1"/>
  <c r="AK4" i="24" s="1"/>
  <c r="AL4" i="24" s="1"/>
  <c r="AM4" i="24" s="1"/>
  <c r="AN4" i="24" s="1"/>
  <c r="AO4" i="24" s="1"/>
  <c r="AP4" i="24" s="1"/>
  <c r="AQ4" i="24" s="1"/>
  <c r="AR4" i="24" s="1"/>
  <c r="AS4" i="24" s="1"/>
  <c r="AT4" i="24" s="1"/>
  <c r="AU4" i="24" s="1"/>
  <c r="AV4" i="24" s="1"/>
  <c r="AW4" i="24" s="1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D2" i="24"/>
  <c r="D3" i="24" s="1"/>
  <c r="C57" i="119"/>
  <c r="E51" i="119"/>
  <c r="C51" i="119"/>
  <c r="B51" i="119"/>
  <c r="C40" i="119"/>
  <c r="B40" i="119"/>
  <c r="B36" i="119"/>
  <c r="C34" i="119"/>
  <c r="B34" i="119"/>
  <c r="B32" i="119"/>
  <c r="C31" i="119"/>
  <c r="B31" i="119"/>
  <c r="AC30" i="119"/>
  <c r="T30" i="119"/>
  <c r="K30" i="119"/>
  <c r="C25" i="119"/>
  <c r="B25" i="119"/>
  <c r="E25" i="119" s="1"/>
  <c r="AC16" i="119"/>
  <c r="T16" i="119"/>
  <c r="K16" i="119"/>
  <c r="AH8" i="119"/>
  <c r="AG8" i="119"/>
  <c r="AF8" i="119"/>
  <c r="AE8" i="119"/>
  <c r="AD8" i="119"/>
  <c r="AC8" i="119"/>
  <c r="AB8" i="119"/>
  <c r="AA8" i="119"/>
  <c r="Z8" i="119"/>
  <c r="Y8" i="119"/>
  <c r="X8" i="119"/>
  <c r="W8" i="119"/>
  <c r="V8" i="119"/>
  <c r="U8" i="119"/>
  <c r="T8" i="119"/>
  <c r="S8" i="119"/>
  <c r="R8" i="119"/>
  <c r="Q8" i="119"/>
  <c r="P8" i="119"/>
  <c r="O8" i="119"/>
  <c r="N8" i="119"/>
  <c r="M8" i="119"/>
  <c r="L8" i="119"/>
  <c r="K8" i="119"/>
  <c r="J8" i="119"/>
  <c r="I8" i="119"/>
  <c r="H8" i="119"/>
  <c r="G8" i="119"/>
  <c r="F8" i="119"/>
  <c r="E8" i="119"/>
  <c r="AH7" i="119"/>
  <c r="AI7" i="119" s="1"/>
  <c r="AJ7" i="119" s="1"/>
  <c r="AG7" i="119"/>
  <c r="AF7" i="119"/>
  <c r="AE7" i="119"/>
  <c r="AD7" i="119"/>
  <c r="AC7" i="119"/>
  <c r="AB7" i="119"/>
  <c r="AA7" i="119"/>
  <c r="Z7" i="119"/>
  <c r="Y7" i="119"/>
  <c r="X7" i="119"/>
  <c r="W7" i="119"/>
  <c r="V7" i="119"/>
  <c r="U7" i="119"/>
  <c r="T7" i="119"/>
  <c r="S7" i="119"/>
  <c r="R7" i="119"/>
  <c r="Q7" i="119"/>
  <c r="P7" i="119"/>
  <c r="O7" i="119"/>
  <c r="N7" i="119"/>
  <c r="M7" i="119"/>
  <c r="L7" i="119"/>
  <c r="K7" i="119"/>
  <c r="J7" i="119"/>
  <c r="I7" i="119"/>
  <c r="H7" i="119"/>
  <c r="G7" i="119"/>
  <c r="F7" i="119"/>
  <c r="E7" i="119"/>
  <c r="AC6" i="119"/>
  <c r="T6" i="119"/>
  <c r="K6" i="119"/>
  <c r="F4" i="119"/>
  <c r="F3" i="119"/>
  <c r="G3" i="119" s="1"/>
  <c r="E69" i="8"/>
  <c r="F67" i="8"/>
  <c r="G7" i="24" s="1"/>
  <c r="F33" i="119" s="1"/>
  <c r="E66" i="8"/>
  <c r="C53" i="8"/>
  <c r="B53" i="8"/>
  <c r="E51" i="8"/>
  <c r="F48" i="8"/>
  <c r="G48" i="8" s="1"/>
  <c r="H48" i="8" s="1"/>
  <c r="I48" i="8" s="1"/>
  <c r="F47" i="8"/>
  <c r="G47" i="8" s="1"/>
  <c r="H47" i="8" s="1"/>
  <c r="I47" i="8" s="1"/>
  <c r="F41" i="8"/>
  <c r="G41" i="8" s="1"/>
  <c r="H41" i="8" s="1"/>
  <c r="I41" i="8" s="1"/>
  <c r="B38" i="8"/>
  <c r="C35" i="8"/>
  <c r="B35" i="8"/>
  <c r="E35" i="8" s="1"/>
  <c r="B34" i="8"/>
  <c r="E33" i="8"/>
  <c r="C33" i="8"/>
  <c r="B33" i="8"/>
  <c r="I26" i="8"/>
  <c r="H26" i="8"/>
  <c r="G26" i="8"/>
  <c r="F26" i="8"/>
  <c r="E26" i="8"/>
  <c r="C21" i="8"/>
  <c r="C13" i="8"/>
  <c r="C14" i="8" s="1"/>
  <c r="I8" i="8"/>
  <c r="H8" i="8"/>
  <c r="G8" i="8"/>
  <c r="F8" i="8"/>
  <c r="E8" i="8"/>
  <c r="F7" i="8"/>
  <c r="G7" i="8" s="1"/>
  <c r="H7" i="8" s="1"/>
  <c r="I7" i="8" s="1"/>
  <c r="F4" i="8"/>
  <c r="F66" i="8" s="1"/>
  <c r="F3" i="8"/>
  <c r="G3" i="8" s="1"/>
  <c r="H3" i="8" s="1"/>
  <c r="I3" i="8" s="1"/>
  <c r="D26" i="27"/>
  <c r="B19" i="27"/>
  <c r="B17" i="27"/>
  <c r="E17" i="27" s="1"/>
  <c r="F17" i="27" s="1"/>
  <c r="G17" i="27" s="1"/>
  <c r="H17" i="27" s="1"/>
  <c r="I17" i="27" s="1"/>
  <c r="J17" i="27" s="1"/>
  <c r="K17" i="27" s="1"/>
  <c r="L17" i="27" s="1"/>
  <c r="M17" i="27" s="1"/>
  <c r="N17" i="27" s="1"/>
  <c r="O17" i="27" s="1"/>
  <c r="P17" i="27" s="1"/>
  <c r="Q17" i="27" s="1"/>
  <c r="R17" i="27" s="1"/>
  <c r="S17" i="27" s="1"/>
  <c r="T17" i="27" s="1"/>
  <c r="U17" i="27" s="1"/>
  <c r="V17" i="27" s="1"/>
  <c r="W17" i="27" s="1"/>
  <c r="X17" i="27" s="1"/>
  <c r="Y17" i="27" s="1"/>
  <c r="Z17" i="27" s="1"/>
  <c r="AA17" i="27" s="1"/>
  <c r="AB17" i="27" s="1"/>
  <c r="AC17" i="27" s="1"/>
  <c r="AD17" i="27" s="1"/>
  <c r="AE17" i="27" s="1"/>
  <c r="AF17" i="27" s="1"/>
  <c r="AG17" i="27" s="1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D9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E5" i="27"/>
  <c r="F5" i="27" s="1"/>
  <c r="G5" i="27" s="1"/>
  <c r="H5" i="27" s="1"/>
  <c r="I5" i="27" s="1"/>
  <c r="J5" i="27" s="1"/>
  <c r="K5" i="27" s="1"/>
  <c r="L5" i="27" s="1"/>
  <c r="M5" i="27" s="1"/>
  <c r="N5" i="27" s="1"/>
  <c r="O5" i="27" s="1"/>
  <c r="P5" i="27" s="1"/>
  <c r="Q5" i="27" s="1"/>
  <c r="R5" i="27" s="1"/>
  <c r="S5" i="27" s="1"/>
  <c r="T5" i="27" s="1"/>
  <c r="U5" i="27" s="1"/>
  <c r="V5" i="27" s="1"/>
  <c r="W5" i="27" s="1"/>
  <c r="X5" i="27" s="1"/>
  <c r="Y5" i="27" s="1"/>
  <c r="Z5" i="27" s="1"/>
  <c r="AA5" i="27" s="1"/>
  <c r="AB5" i="27" s="1"/>
  <c r="AC5" i="27" s="1"/>
  <c r="AD5" i="27" s="1"/>
  <c r="AE5" i="27" s="1"/>
  <c r="AF5" i="27" s="1"/>
  <c r="AG5" i="27" s="1"/>
  <c r="E4" i="27"/>
  <c r="F4" i="27" s="1"/>
  <c r="G4" i="27" s="1"/>
  <c r="H4" i="27" s="1"/>
  <c r="I4" i="27" s="1"/>
  <c r="J4" i="27" s="1"/>
  <c r="K4" i="27" s="1"/>
  <c r="L4" i="27" s="1"/>
  <c r="M4" i="27" s="1"/>
  <c r="N4" i="27" s="1"/>
  <c r="O4" i="27" s="1"/>
  <c r="P4" i="27" s="1"/>
  <c r="Q4" i="27" s="1"/>
  <c r="R4" i="27" s="1"/>
  <c r="S4" i="27" s="1"/>
  <c r="T4" i="27" s="1"/>
  <c r="U4" i="27" s="1"/>
  <c r="V4" i="27" s="1"/>
  <c r="W4" i="27" s="1"/>
  <c r="X4" i="27" s="1"/>
  <c r="Y4" i="27" s="1"/>
  <c r="Z4" i="27" s="1"/>
  <c r="AA4" i="27" s="1"/>
  <c r="AB4" i="27" s="1"/>
  <c r="AC4" i="27" s="1"/>
  <c r="AD4" i="27" s="1"/>
  <c r="AE4" i="27" s="1"/>
  <c r="AF4" i="27" s="1"/>
  <c r="AG4" i="27" s="1"/>
  <c r="S3" i="27"/>
  <c r="J3" i="27"/>
  <c r="Z3" i="27" s="1"/>
  <c r="D56" i="75"/>
  <c r="D48" i="75"/>
  <c r="B48" i="75"/>
  <c r="Z43" i="75"/>
  <c r="R43" i="75"/>
  <c r="J43" i="75"/>
  <c r="Z39" i="75"/>
  <c r="R39" i="75"/>
  <c r="J39" i="75"/>
  <c r="D37" i="75"/>
  <c r="B37" i="75"/>
  <c r="D36" i="75"/>
  <c r="B36" i="75"/>
  <c r="D34" i="75"/>
  <c r="AE34" i="75" s="1"/>
  <c r="B34" i="75"/>
  <c r="D33" i="75"/>
  <c r="AD33" i="75" s="1"/>
  <c r="B33" i="75"/>
  <c r="Z32" i="75"/>
  <c r="R32" i="75"/>
  <c r="J32" i="75"/>
  <c r="D27" i="75"/>
  <c r="E27" i="75" s="1"/>
  <c r="D26" i="75"/>
  <c r="AG26" i="75" s="1"/>
  <c r="Z25" i="75"/>
  <c r="R25" i="75"/>
  <c r="J25" i="75"/>
  <c r="Z20" i="75"/>
  <c r="R20" i="75"/>
  <c r="J20" i="75"/>
  <c r="D18" i="75"/>
  <c r="B18" i="75"/>
  <c r="D17" i="75"/>
  <c r="B17" i="75"/>
  <c r="D15" i="75"/>
  <c r="B15" i="75"/>
  <c r="D14" i="75"/>
  <c r="B14" i="75"/>
  <c r="Z13" i="75"/>
  <c r="R13" i="75"/>
  <c r="J13" i="75"/>
  <c r="D8" i="75"/>
  <c r="AE8" i="75" s="1"/>
  <c r="D7" i="75"/>
  <c r="E7" i="75" s="1"/>
  <c r="F7" i="75" s="1"/>
  <c r="G7" i="75" s="1"/>
  <c r="H7" i="75" s="1"/>
  <c r="I7" i="75" s="1"/>
  <c r="J7" i="75" s="1"/>
  <c r="K7" i="75" s="1"/>
  <c r="L7" i="75" s="1"/>
  <c r="M7" i="75" s="1"/>
  <c r="N7" i="75" s="1"/>
  <c r="O7" i="75" s="1"/>
  <c r="P7" i="75" s="1"/>
  <c r="Q7" i="75" s="1"/>
  <c r="R7" i="75" s="1"/>
  <c r="S7" i="75" s="1"/>
  <c r="T7" i="75" s="1"/>
  <c r="U7" i="75" s="1"/>
  <c r="V7" i="75" s="1"/>
  <c r="W7" i="75" s="1"/>
  <c r="X7" i="75" s="1"/>
  <c r="Y7" i="75" s="1"/>
  <c r="Z7" i="75" s="1"/>
  <c r="AA7" i="75" s="1"/>
  <c r="AB7" i="75" s="1"/>
  <c r="AC7" i="75" s="1"/>
  <c r="AD7" i="75" s="1"/>
  <c r="AE7" i="75" s="1"/>
  <c r="AF7" i="75" s="1"/>
  <c r="AG7" i="75" s="1"/>
  <c r="Z6" i="75"/>
  <c r="R6" i="75"/>
  <c r="J6" i="75"/>
  <c r="E4" i="75"/>
  <c r="F4" i="75" s="1"/>
  <c r="G4" i="75" s="1"/>
  <c r="H4" i="75" s="1"/>
  <c r="I4" i="75" s="1"/>
  <c r="J4" i="75" s="1"/>
  <c r="K4" i="75" s="1"/>
  <c r="L4" i="75" s="1"/>
  <c r="M4" i="75" s="1"/>
  <c r="N4" i="75" s="1"/>
  <c r="O4" i="75" s="1"/>
  <c r="P4" i="75" s="1"/>
  <c r="Q4" i="75" s="1"/>
  <c r="R4" i="75" s="1"/>
  <c r="S4" i="75" s="1"/>
  <c r="T4" i="75" s="1"/>
  <c r="U4" i="75" s="1"/>
  <c r="V4" i="75" s="1"/>
  <c r="W4" i="75" s="1"/>
  <c r="X4" i="75" s="1"/>
  <c r="Y4" i="75" s="1"/>
  <c r="Z4" i="75" s="1"/>
  <c r="AA4" i="75" s="1"/>
  <c r="AB4" i="75" s="1"/>
  <c r="AC4" i="75" s="1"/>
  <c r="AD4" i="75" s="1"/>
  <c r="AE4" i="75" s="1"/>
  <c r="AF4" i="75" s="1"/>
  <c r="AG4" i="75" s="1"/>
  <c r="E3" i="75"/>
  <c r="F3" i="75" s="1"/>
  <c r="G3" i="75" s="1"/>
  <c r="H3" i="75" s="1"/>
  <c r="I3" i="75" s="1"/>
  <c r="J3" i="75" s="1"/>
  <c r="K3" i="75" s="1"/>
  <c r="L3" i="75" s="1"/>
  <c r="M3" i="75" s="1"/>
  <c r="N3" i="75" s="1"/>
  <c r="O3" i="75" s="1"/>
  <c r="P3" i="75" s="1"/>
  <c r="Q3" i="75" s="1"/>
  <c r="R3" i="75" s="1"/>
  <c r="S3" i="75" s="1"/>
  <c r="T3" i="75" s="1"/>
  <c r="U3" i="75" s="1"/>
  <c r="V3" i="75" s="1"/>
  <c r="W3" i="75" s="1"/>
  <c r="X3" i="75" s="1"/>
  <c r="Y3" i="75" s="1"/>
  <c r="Z3" i="75" s="1"/>
  <c r="AA3" i="75" s="1"/>
  <c r="AB3" i="75" s="1"/>
  <c r="AC3" i="75" s="1"/>
  <c r="AD3" i="75" s="1"/>
  <c r="AE3" i="75" s="1"/>
  <c r="AF3" i="75" s="1"/>
  <c r="AG3" i="75" s="1"/>
  <c r="Z2" i="75"/>
  <c r="R2" i="75"/>
  <c r="J2" i="75"/>
  <c r="A46" i="217"/>
  <c r="E45" i="217"/>
  <c r="F45" i="217" s="1"/>
  <c r="G45" i="217" s="1"/>
  <c r="H45" i="217" s="1"/>
  <c r="I45" i="217" s="1"/>
  <c r="J45" i="217" s="1"/>
  <c r="K45" i="217" s="1"/>
  <c r="L45" i="217" s="1"/>
  <c r="M45" i="217" s="1"/>
  <c r="N45" i="217" s="1"/>
  <c r="O45" i="217" s="1"/>
  <c r="P45" i="217" s="1"/>
  <c r="Q45" i="217" s="1"/>
  <c r="R45" i="217" s="1"/>
  <c r="S45" i="217" s="1"/>
  <c r="T45" i="217" s="1"/>
  <c r="U45" i="217" s="1"/>
  <c r="V45" i="217" s="1"/>
  <c r="W45" i="217" s="1"/>
  <c r="X45" i="217" s="1"/>
  <c r="Y45" i="217" s="1"/>
  <c r="Z45" i="217" s="1"/>
  <c r="AA45" i="217" s="1"/>
  <c r="AB45" i="217" s="1"/>
  <c r="AC45" i="217" s="1"/>
  <c r="AD45" i="217" s="1"/>
  <c r="AE45" i="217" s="1"/>
  <c r="AF45" i="217" s="1"/>
  <c r="AG45" i="217" s="1"/>
  <c r="E44" i="217"/>
  <c r="F44" i="217" s="1"/>
  <c r="G44" i="217" s="1"/>
  <c r="H44" i="217" s="1"/>
  <c r="I44" i="217" s="1"/>
  <c r="J44" i="217" s="1"/>
  <c r="K44" i="217" s="1"/>
  <c r="L44" i="217" s="1"/>
  <c r="M44" i="217" s="1"/>
  <c r="N44" i="217" s="1"/>
  <c r="O44" i="217" s="1"/>
  <c r="P44" i="217" s="1"/>
  <c r="Q44" i="217" s="1"/>
  <c r="R44" i="217" s="1"/>
  <c r="S44" i="217" s="1"/>
  <c r="T44" i="217" s="1"/>
  <c r="U44" i="217" s="1"/>
  <c r="V44" i="217" s="1"/>
  <c r="W44" i="217" s="1"/>
  <c r="X44" i="217" s="1"/>
  <c r="Y44" i="217" s="1"/>
  <c r="Z44" i="217" s="1"/>
  <c r="AA44" i="217" s="1"/>
  <c r="AB44" i="217" s="1"/>
  <c r="AC44" i="217" s="1"/>
  <c r="AD44" i="217" s="1"/>
  <c r="AE44" i="217" s="1"/>
  <c r="AF44" i="217" s="1"/>
  <c r="AG44" i="217" s="1"/>
  <c r="A37" i="217"/>
  <c r="E36" i="217"/>
  <c r="F36" i="217" s="1"/>
  <c r="G36" i="217" s="1"/>
  <c r="H36" i="217" s="1"/>
  <c r="I36" i="217" s="1"/>
  <c r="J36" i="217" s="1"/>
  <c r="K36" i="217" s="1"/>
  <c r="L36" i="217" s="1"/>
  <c r="M36" i="217" s="1"/>
  <c r="N36" i="217" s="1"/>
  <c r="O36" i="217" s="1"/>
  <c r="P36" i="217" s="1"/>
  <c r="Q36" i="217" s="1"/>
  <c r="R36" i="217" s="1"/>
  <c r="S36" i="217" s="1"/>
  <c r="T36" i="217" s="1"/>
  <c r="U36" i="217" s="1"/>
  <c r="V36" i="217" s="1"/>
  <c r="W36" i="217" s="1"/>
  <c r="X36" i="217" s="1"/>
  <c r="Y36" i="217" s="1"/>
  <c r="Z36" i="217" s="1"/>
  <c r="AA36" i="217" s="1"/>
  <c r="AB36" i="217" s="1"/>
  <c r="AC36" i="217" s="1"/>
  <c r="AD36" i="217" s="1"/>
  <c r="AE36" i="217" s="1"/>
  <c r="AF36" i="217" s="1"/>
  <c r="AG36" i="217" s="1"/>
  <c r="E35" i="217"/>
  <c r="F35" i="217" s="1"/>
  <c r="G35" i="217" s="1"/>
  <c r="H35" i="217" s="1"/>
  <c r="I35" i="217" s="1"/>
  <c r="J35" i="217" s="1"/>
  <c r="K35" i="217" s="1"/>
  <c r="L35" i="217" s="1"/>
  <c r="M35" i="217" s="1"/>
  <c r="N35" i="217" s="1"/>
  <c r="O35" i="217" s="1"/>
  <c r="P35" i="217" s="1"/>
  <c r="Q35" i="217" s="1"/>
  <c r="R35" i="217" s="1"/>
  <c r="S35" i="217" s="1"/>
  <c r="T35" i="217" s="1"/>
  <c r="U35" i="217" s="1"/>
  <c r="V35" i="217" s="1"/>
  <c r="W35" i="217" s="1"/>
  <c r="X35" i="217" s="1"/>
  <c r="Y35" i="217" s="1"/>
  <c r="Z35" i="217" s="1"/>
  <c r="AA35" i="217" s="1"/>
  <c r="AB35" i="217" s="1"/>
  <c r="AC35" i="217" s="1"/>
  <c r="AD35" i="217" s="1"/>
  <c r="AE35" i="217" s="1"/>
  <c r="AF35" i="217" s="1"/>
  <c r="AG35" i="217" s="1"/>
  <c r="A27" i="217"/>
  <c r="E26" i="217"/>
  <c r="F26" i="217" s="1"/>
  <c r="G26" i="217" s="1"/>
  <c r="H26" i="217" s="1"/>
  <c r="I26" i="217" s="1"/>
  <c r="J26" i="217" s="1"/>
  <c r="K26" i="217" s="1"/>
  <c r="L26" i="217" s="1"/>
  <c r="M26" i="217" s="1"/>
  <c r="N26" i="217" s="1"/>
  <c r="O26" i="217" s="1"/>
  <c r="P26" i="217" s="1"/>
  <c r="Q26" i="217" s="1"/>
  <c r="R26" i="217" s="1"/>
  <c r="S26" i="217" s="1"/>
  <c r="T26" i="217" s="1"/>
  <c r="U26" i="217" s="1"/>
  <c r="V26" i="217" s="1"/>
  <c r="W26" i="217" s="1"/>
  <c r="X26" i="217" s="1"/>
  <c r="Y26" i="217" s="1"/>
  <c r="Z26" i="217" s="1"/>
  <c r="AA26" i="217" s="1"/>
  <c r="AB26" i="217" s="1"/>
  <c r="AC26" i="217" s="1"/>
  <c r="AD26" i="217" s="1"/>
  <c r="AE26" i="217" s="1"/>
  <c r="AF26" i="217" s="1"/>
  <c r="AG26" i="217" s="1"/>
  <c r="E25" i="217"/>
  <c r="F25" i="217" s="1"/>
  <c r="G25" i="217" s="1"/>
  <c r="H25" i="217" s="1"/>
  <c r="I25" i="217" s="1"/>
  <c r="J25" i="217" s="1"/>
  <c r="K25" i="217" s="1"/>
  <c r="L25" i="217" s="1"/>
  <c r="M25" i="217" s="1"/>
  <c r="N25" i="217" s="1"/>
  <c r="O25" i="217" s="1"/>
  <c r="P25" i="217" s="1"/>
  <c r="Q25" i="217" s="1"/>
  <c r="R25" i="217" s="1"/>
  <c r="S25" i="217" s="1"/>
  <c r="T25" i="217" s="1"/>
  <c r="U25" i="217" s="1"/>
  <c r="V25" i="217" s="1"/>
  <c r="W25" i="217" s="1"/>
  <c r="X25" i="217" s="1"/>
  <c r="Y25" i="217" s="1"/>
  <c r="Z25" i="217" s="1"/>
  <c r="AA25" i="217" s="1"/>
  <c r="AB25" i="217" s="1"/>
  <c r="AC25" i="217" s="1"/>
  <c r="AD25" i="217" s="1"/>
  <c r="AE25" i="217" s="1"/>
  <c r="AF25" i="217" s="1"/>
  <c r="AG25" i="217" s="1"/>
  <c r="E4" i="217"/>
  <c r="E5" i="217" s="1"/>
  <c r="B52" i="214"/>
  <c r="C48" i="214"/>
  <c r="C42" i="214"/>
  <c r="C43" i="214" s="1"/>
  <c r="N26" i="214"/>
  <c r="J26" i="214"/>
  <c r="M26" i="214" s="1"/>
  <c r="N25" i="214"/>
  <c r="N24" i="214"/>
  <c r="N23" i="214"/>
  <c r="N22" i="214"/>
  <c r="M21" i="214"/>
  <c r="L21" i="214"/>
  <c r="K21" i="214"/>
  <c r="C16" i="214"/>
  <c r="C17" i="214" s="1"/>
  <c r="L14" i="214"/>
  <c r="C11" i="214"/>
  <c r="C10" i="214"/>
  <c r="J8" i="214"/>
  <c r="J22" i="214" l="1"/>
  <c r="M22" i="214" s="1"/>
  <c r="D16" i="24"/>
  <c r="F33" i="8"/>
  <c r="E32" i="119"/>
  <c r="E17" i="75"/>
  <c r="F17" i="75" s="1"/>
  <c r="G17" i="75" s="1"/>
  <c r="H17" i="75" s="1"/>
  <c r="I17" i="75" s="1"/>
  <c r="J17" i="75" s="1"/>
  <c r="K17" i="75" s="1"/>
  <c r="L17" i="75" s="1"/>
  <c r="M17" i="75" s="1"/>
  <c r="N17" i="75" s="1"/>
  <c r="O17" i="75" s="1"/>
  <c r="P17" i="75" s="1"/>
  <c r="Q17" i="75" s="1"/>
  <c r="R17" i="75" s="1"/>
  <c r="S17" i="75" s="1"/>
  <c r="T17" i="75" s="1"/>
  <c r="U17" i="75" s="1"/>
  <c r="V17" i="75" s="1"/>
  <c r="W17" i="75" s="1"/>
  <c r="X17" i="75" s="1"/>
  <c r="Y17" i="75" s="1"/>
  <c r="Z17" i="75" s="1"/>
  <c r="AA17" i="75" s="1"/>
  <c r="AB17" i="75" s="1"/>
  <c r="AC17" i="75" s="1"/>
  <c r="AD17" i="75" s="1"/>
  <c r="AE17" i="75" s="1"/>
  <c r="AF17" i="75" s="1"/>
  <c r="AG17" i="75" s="1"/>
  <c r="F12" i="24"/>
  <c r="E33" i="119"/>
  <c r="E36" i="75"/>
  <c r="F36" i="75" s="1"/>
  <c r="G36" i="75" s="1"/>
  <c r="H36" i="75" s="1"/>
  <c r="I36" i="75" s="1"/>
  <c r="J36" i="75" s="1"/>
  <c r="K36" i="75" s="1"/>
  <c r="L36" i="75" s="1"/>
  <c r="M36" i="75" s="1"/>
  <c r="N36" i="75" s="1"/>
  <c r="O36" i="75" s="1"/>
  <c r="P36" i="75" s="1"/>
  <c r="Q36" i="75" s="1"/>
  <c r="R36" i="75" s="1"/>
  <c r="S36" i="75" s="1"/>
  <c r="T36" i="75" s="1"/>
  <c r="U36" i="75" s="1"/>
  <c r="V36" i="75" s="1"/>
  <c r="W36" i="75" s="1"/>
  <c r="X36" i="75" s="1"/>
  <c r="Y36" i="75" s="1"/>
  <c r="Z36" i="75" s="1"/>
  <c r="AA36" i="75" s="1"/>
  <c r="AB36" i="75" s="1"/>
  <c r="AC36" i="75" s="1"/>
  <c r="AD36" i="75" s="1"/>
  <c r="AE36" i="75" s="1"/>
  <c r="AF36" i="75" s="1"/>
  <c r="AG36" i="75" s="1"/>
  <c r="E2" i="8"/>
  <c r="D2" i="119"/>
  <c r="T2" i="119" s="1"/>
  <c r="AH48" i="119"/>
  <c r="AF48" i="119"/>
  <c r="AD48" i="119"/>
  <c r="AB48" i="119"/>
  <c r="Z48" i="119"/>
  <c r="X48" i="119"/>
  <c r="V48" i="119"/>
  <c r="T48" i="119"/>
  <c r="R48" i="119"/>
  <c r="P48" i="119"/>
  <c r="N48" i="119"/>
  <c r="L48" i="119"/>
  <c r="J48" i="119"/>
  <c r="H48" i="119"/>
  <c r="F48" i="119"/>
  <c r="AG22" i="119"/>
  <c r="AE22" i="119"/>
  <c r="AC22" i="119"/>
  <c r="AA22" i="119"/>
  <c r="Y22" i="119"/>
  <c r="W22" i="119"/>
  <c r="U22" i="119"/>
  <c r="S22" i="119"/>
  <c r="Q22" i="119"/>
  <c r="O22" i="119"/>
  <c r="M22" i="119"/>
  <c r="K22" i="119"/>
  <c r="I22" i="119"/>
  <c r="G22" i="119"/>
  <c r="E22" i="119"/>
  <c r="AE48" i="119"/>
  <c r="AA48" i="119"/>
  <c r="W48" i="119"/>
  <c r="S48" i="119"/>
  <c r="O48" i="119"/>
  <c r="K48" i="119"/>
  <c r="G48" i="119"/>
  <c r="AF22" i="119"/>
  <c r="AB22" i="119"/>
  <c r="X22" i="119"/>
  <c r="T22" i="119"/>
  <c r="P22" i="119"/>
  <c r="L22" i="119"/>
  <c r="H22" i="119"/>
  <c r="AG48" i="119"/>
  <c r="AC48" i="119"/>
  <c r="Y48" i="119"/>
  <c r="U48" i="119"/>
  <c r="Q48" i="119"/>
  <c r="M48" i="119"/>
  <c r="I48" i="119"/>
  <c r="E48" i="119"/>
  <c r="AH22" i="119"/>
  <c r="AD22" i="119"/>
  <c r="Z22" i="119"/>
  <c r="V22" i="119"/>
  <c r="R22" i="119"/>
  <c r="N22" i="119"/>
  <c r="J22" i="119"/>
  <c r="F22" i="119"/>
  <c r="J14" i="214"/>
  <c r="J23" i="214"/>
  <c r="L23" i="214" s="1"/>
  <c r="J24" i="214"/>
  <c r="L24" i="214" s="1"/>
  <c r="J25" i="214"/>
  <c r="E14" i="75"/>
  <c r="F14" i="75" s="1"/>
  <c r="G4" i="8"/>
  <c r="G9" i="8"/>
  <c r="G36" i="8" s="1"/>
  <c r="I9" i="8"/>
  <c r="I36" i="8" s="1"/>
  <c r="G4" i="119"/>
  <c r="F9" i="8"/>
  <c r="F36" i="8" s="1"/>
  <c r="H9" i="8"/>
  <c r="H36" i="8" s="1"/>
  <c r="H3" i="119"/>
  <c r="D119" i="24"/>
  <c r="AW118" i="24" s="1"/>
  <c r="D125" i="24"/>
  <c r="AQ124" i="24" s="1"/>
  <c r="D131" i="24"/>
  <c r="AO131" i="24" s="1"/>
  <c r="D137" i="24"/>
  <c r="AS136" i="24" s="1"/>
  <c r="D143" i="24"/>
  <c r="AU142" i="24" s="1"/>
  <c r="D149" i="24"/>
  <c r="AW148" i="24" s="1"/>
  <c r="D128" i="24"/>
  <c r="AW127" i="24" s="1"/>
  <c r="D152" i="24"/>
  <c r="AV152" i="24" s="1"/>
  <c r="S48" i="75"/>
  <c r="AE40" i="119"/>
  <c r="E18" i="75"/>
  <c r="F18" i="75" s="1"/>
  <c r="G18" i="75" s="1"/>
  <c r="H18" i="75" s="1"/>
  <c r="I18" i="75" s="1"/>
  <c r="J18" i="75" s="1"/>
  <c r="K18" i="75" s="1"/>
  <c r="L18" i="75" s="1"/>
  <c r="M18" i="75" s="1"/>
  <c r="N18" i="75" s="1"/>
  <c r="O18" i="75" s="1"/>
  <c r="P18" i="75" s="1"/>
  <c r="Q18" i="75" s="1"/>
  <c r="R18" i="75" s="1"/>
  <c r="S18" i="75" s="1"/>
  <c r="T18" i="75" s="1"/>
  <c r="U18" i="75" s="1"/>
  <c r="V18" i="75" s="1"/>
  <c r="W18" i="75" s="1"/>
  <c r="X18" i="75" s="1"/>
  <c r="Y18" i="75" s="1"/>
  <c r="Z18" i="75" s="1"/>
  <c r="AA18" i="75" s="1"/>
  <c r="AB18" i="75" s="1"/>
  <c r="AC18" i="75" s="1"/>
  <c r="AD18" i="75" s="1"/>
  <c r="AE18" i="75" s="1"/>
  <c r="AF18" i="75" s="1"/>
  <c r="AG18" i="75" s="1"/>
  <c r="F26" i="75"/>
  <c r="N26" i="75"/>
  <c r="V26" i="75"/>
  <c r="AD26" i="75"/>
  <c r="G33" i="75"/>
  <c r="E37" i="75"/>
  <c r="F37" i="75" s="1"/>
  <c r="G37" i="75" s="1"/>
  <c r="H37" i="75" s="1"/>
  <c r="I37" i="75" s="1"/>
  <c r="J37" i="75" s="1"/>
  <c r="K37" i="75" s="1"/>
  <c r="L37" i="75" s="1"/>
  <c r="M37" i="75" s="1"/>
  <c r="N37" i="75" s="1"/>
  <c r="O37" i="75" s="1"/>
  <c r="P37" i="75" s="1"/>
  <c r="Q37" i="75" s="1"/>
  <c r="R37" i="75" s="1"/>
  <c r="S37" i="75" s="1"/>
  <c r="T37" i="75" s="1"/>
  <c r="U37" i="75" s="1"/>
  <c r="V37" i="75" s="1"/>
  <c r="W37" i="75" s="1"/>
  <c r="X37" i="75" s="1"/>
  <c r="Y37" i="75" s="1"/>
  <c r="Z37" i="75" s="1"/>
  <c r="AA37" i="75" s="1"/>
  <c r="AB37" i="75" s="1"/>
  <c r="AC37" i="75" s="1"/>
  <c r="AD37" i="75" s="1"/>
  <c r="AE37" i="75" s="1"/>
  <c r="AF37" i="75" s="1"/>
  <c r="AG37" i="75" s="1"/>
  <c r="AD48" i="75"/>
  <c r="D155" i="24"/>
  <c r="AW155" i="24" s="1"/>
  <c r="K26" i="75"/>
  <c r="S26" i="75"/>
  <c r="AA26" i="75"/>
  <c r="D140" i="24"/>
  <c r="AR140" i="24" s="1"/>
  <c r="J26" i="75"/>
  <c r="R26" i="75"/>
  <c r="Z26" i="75"/>
  <c r="D134" i="24"/>
  <c r="AW133" i="24" s="1"/>
  <c r="K25" i="214"/>
  <c r="K26" i="214"/>
  <c r="G26" i="75"/>
  <c r="O26" i="75"/>
  <c r="W26" i="75"/>
  <c r="AE26" i="75"/>
  <c r="K33" i="75"/>
  <c r="E40" i="119"/>
  <c r="AC40" i="119"/>
  <c r="U40" i="119"/>
  <c r="M40" i="119"/>
  <c r="AE9" i="75"/>
  <c r="AE11" i="75" s="1"/>
  <c r="L22" i="214"/>
  <c r="K23" i="214"/>
  <c r="L26" i="214"/>
  <c r="F8" i="75"/>
  <c r="F9" i="75" s="1"/>
  <c r="F11" i="75" s="1"/>
  <c r="J8" i="75"/>
  <c r="J9" i="75" s="1"/>
  <c r="J11" i="75" s="1"/>
  <c r="N8" i="75"/>
  <c r="N9" i="75" s="1"/>
  <c r="N11" i="75" s="1"/>
  <c r="R8" i="75"/>
  <c r="R9" i="75" s="1"/>
  <c r="R11" i="75" s="1"/>
  <c r="V8" i="75"/>
  <c r="V9" i="75" s="1"/>
  <c r="V11" i="75" s="1"/>
  <c r="Z8" i="75"/>
  <c r="Z9" i="75" s="1"/>
  <c r="Z11" i="75" s="1"/>
  <c r="AD8" i="75"/>
  <c r="AD9" i="75" s="1"/>
  <c r="AD11" i="75" s="1"/>
  <c r="D9" i="75"/>
  <c r="H26" i="75"/>
  <c r="L26" i="75"/>
  <c r="P26" i="75"/>
  <c r="T26" i="75"/>
  <c r="X26" i="75"/>
  <c r="AB26" i="75"/>
  <c r="AF26" i="75"/>
  <c r="E33" i="75"/>
  <c r="I33" i="75"/>
  <c r="M33" i="75"/>
  <c r="Q33" i="75"/>
  <c r="U33" i="75"/>
  <c r="Y33" i="75"/>
  <c r="AC33" i="75"/>
  <c r="AG33" i="75"/>
  <c r="F34" i="75"/>
  <c r="J34" i="75"/>
  <c r="N34" i="75"/>
  <c r="R34" i="75"/>
  <c r="V34" i="75"/>
  <c r="Z34" i="75"/>
  <c r="AD34" i="75"/>
  <c r="E48" i="75"/>
  <c r="I48" i="75"/>
  <c r="M48" i="75"/>
  <c r="Q48" i="75"/>
  <c r="U48" i="75"/>
  <c r="Y48" i="75"/>
  <c r="AC48" i="75"/>
  <c r="AG48" i="75"/>
  <c r="E8" i="75"/>
  <c r="E9" i="75" s="1"/>
  <c r="E11" i="75" s="1"/>
  <c r="I8" i="75"/>
  <c r="I9" i="75" s="1"/>
  <c r="I11" i="75" s="1"/>
  <c r="M8" i="75"/>
  <c r="M9" i="75" s="1"/>
  <c r="M11" i="75" s="1"/>
  <c r="Q8" i="75"/>
  <c r="Q9" i="75" s="1"/>
  <c r="Q11" i="75" s="1"/>
  <c r="U8" i="75"/>
  <c r="U9" i="75" s="1"/>
  <c r="U11" i="75" s="1"/>
  <c r="Y8" i="75"/>
  <c r="Y9" i="75" s="1"/>
  <c r="Y11" i="75" s="1"/>
  <c r="AC8" i="75"/>
  <c r="AC9" i="75" s="1"/>
  <c r="AC11" i="75" s="1"/>
  <c r="AG8" i="75"/>
  <c r="AG9" i="75" s="1"/>
  <c r="AG11" i="75" s="1"/>
  <c r="H33" i="75"/>
  <c r="L33" i="75"/>
  <c r="P33" i="75"/>
  <c r="T33" i="75"/>
  <c r="X33" i="75"/>
  <c r="AB33" i="75"/>
  <c r="AF33" i="75"/>
  <c r="E34" i="75"/>
  <c r="I34" i="75"/>
  <c r="M34" i="75"/>
  <c r="Q34" i="75"/>
  <c r="U34" i="75"/>
  <c r="Y34" i="75"/>
  <c r="AC34" i="75"/>
  <c r="AG34" i="75"/>
  <c r="H48" i="75"/>
  <c r="L48" i="75"/>
  <c r="P48" i="75"/>
  <c r="T48" i="75"/>
  <c r="X48" i="75"/>
  <c r="AB48" i="75"/>
  <c r="AF48" i="75"/>
  <c r="H8" i="75"/>
  <c r="H9" i="75" s="1"/>
  <c r="H11" i="75" s="1"/>
  <c r="L8" i="75"/>
  <c r="L9" i="75" s="1"/>
  <c r="L11" i="75" s="1"/>
  <c r="P8" i="75"/>
  <c r="P9" i="75" s="1"/>
  <c r="P11" i="75" s="1"/>
  <c r="T8" i="75"/>
  <c r="T9" i="75" s="1"/>
  <c r="T11" i="75" s="1"/>
  <c r="X8" i="75"/>
  <c r="X9" i="75" s="1"/>
  <c r="X11" i="75" s="1"/>
  <c r="AB8" i="75"/>
  <c r="AB9" i="75" s="1"/>
  <c r="AB11" i="75" s="1"/>
  <c r="AF8" i="75"/>
  <c r="AF9" i="75" s="1"/>
  <c r="AF11" i="75" s="1"/>
  <c r="O33" i="75"/>
  <c r="S33" i="75"/>
  <c r="W33" i="75"/>
  <c r="AA33" i="75"/>
  <c r="AE33" i="75"/>
  <c r="H34" i="75"/>
  <c r="L34" i="75"/>
  <c r="P34" i="75"/>
  <c r="T34" i="75"/>
  <c r="X34" i="75"/>
  <c r="AB34" i="75"/>
  <c r="AF34" i="75"/>
  <c r="G48" i="75"/>
  <c r="K48" i="75"/>
  <c r="O48" i="75"/>
  <c r="W48" i="75"/>
  <c r="AA48" i="75"/>
  <c r="AE48" i="75"/>
  <c r="G8" i="75"/>
  <c r="G9" i="75" s="1"/>
  <c r="G11" i="75" s="1"/>
  <c r="K8" i="75"/>
  <c r="K9" i="75" s="1"/>
  <c r="K11" i="75" s="1"/>
  <c r="O8" i="75"/>
  <c r="O9" i="75" s="1"/>
  <c r="O11" i="75" s="1"/>
  <c r="S8" i="75"/>
  <c r="S9" i="75" s="1"/>
  <c r="S11" i="75" s="1"/>
  <c r="W8" i="75"/>
  <c r="W9" i="75" s="1"/>
  <c r="W11" i="75" s="1"/>
  <c r="AA8" i="75"/>
  <c r="AA9" i="75" s="1"/>
  <c r="AA11" i="75" s="1"/>
  <c r="E26" i="75"/>
  <c r="E28" i="75" s="1"/>
  <c r="E30" i="75" s="1"/>
  <c r="I26" i="75"/>
  <c r="M26" i="75"/>
  <c r="Q26" i="75"/>
  <c r="U26" i="75"/>
  <c r="Y26" i="75"/>
  <c r="AC26" i="75"/>
  <c r="F33" i="75"/>
  <c r="J33" i="75"/>
  <c r="N33" i="75"/>
  <c r="R33" i="75"/>
  <c r="V33" i="75"/>
  <c r="Z33" i="75"/>
  <c r="G34" i="75"/>
  <c r="K34" i="75"/>
  <c r="O34" i="75"/>
  <c r="S34" i="75"/>
  <c r="W34" i="75"/>
  <c r="AA34" i="75"/>
  <c r="F48" i="75"/>
  <c r="J48" i="75"/>
  <c r="N48" i="75"/>
  <c r="R48" i="75"/>
  <c r="V48" i="75"/>
  <c r="Z48" i="75"/>
  <c r="F21" i="8"/>
  <c r="F6" i="24"/>
  <c r="I53" i="8"/>
  <c r="J40" i="119"/>
  <c r="R40" i="119"/>
  <c r="Z40" i="119"/>
  <c r="AH40" i="119"/>
  <c r="F53" i="8"/>
  <c r="I40" i="119"/>
  <c r="Q40" i="119"/>
  <c r="Y40" i="119"/>
  <c r="AG40" i="119"/>
  <c r="G21" i="8"/>
  <c r="E53" i="8"/>
  <c r="F40" i="119"/>
  <c r="N40" i="119"/>
  <c r="V40" i="119"/>
  <c r="AD40" i="119"/>
  <c r="AM118" i="24"/>
  <c r="AW130" i="24"/>
  <c r="AU130" i="24"/>
  <c r="AO127" i="24"/>
  <c r="AQ137" i="24"/>
  <c r="I21" i="8"/>
  <c r="H53" i="8"/>
  <c r="F31" i="119"/>
  <c r="E34" i="119"/>
  <c r="AK12" i="24"/>
  <c r="AO12" i="24"/>
  <c r="AS12" i="24"/>
  <c r="D26" i="24"/>
  <c r="N25" i="24" s="1"/>
  <c r="D116" i="24"/>
  <c r="AN115" i="24" s="1"/>
  <c r="H21" i="8"/>
  <c r="G33" i="8"/>
  <c r="F35" i="8"/>
  <c r="G53" i="8"/>
  <c r="E31" i="119"/>
  <c r="AN12" i="24"/>
  <c r="AV12" i="24"/>
  <c r="D122" i="24"/>
  <c r="AQ121" i="24" s="1"/>
  <c r="D146" i="24"/>
  <c r="AU145" i="24" s="1"/>
  <c r="AM12" i="24"/>
  <c r="AQ12" i="24"/>
  <c r="AU12" i="24"/>
  <c r="G25" i="119"/>
  <c r="H25" i="119"/>
  <c r="I25" i="119"/>
  <c r="F25" i="119"/>
  <c r="G51" i="119"/>
  <c r="H40" i="119"/>
  <c r="L40" i="119"/>
  <c r="P40" i="119"/>
  <c r="T40" i="119"/>
  <c r="X40" i="119"/>
  <c r="AB40" i="119"/>
  <c r="AF40" i="119"/>
  <c r="F51" i="119"/>
  <c r="G40" i="119"/>
  <c r="K40" i="119"/>
  <c r="O40" i="119"/>
  <c r="S40" i="119"/>
  <c r="W40" i="119"/>
  <c r="AA40" i="119"/>
  <c r="I51" i="119"/>
  <c r="H51" i="119"/>
  <c r="AP25" i="24"/>
  <c r="AR118" i="24"/>
  <c r="AR136" i="24"/>
  <c r="AT136" i="24"/>
  <c r="AV136" i="24"/>
  <c r="AT142" i="24"/>
  <c r="G67" i="8"/>
  <c r="D29" i="24"/>
  <c r="G12" i="24"/>
  <c r="F69" i="8"/>
  <c r="F51" i="8" s="1"/>
  <c r="AV127" i="24"/>
  <c r="AV145" i="24"/>
  <c r="B12" i="27"/>
  <c r="E8" i="217"/>
  <c r="E9" i="217"/>
  <c r="G9" i="27"/>
  <c r="G13" i="27" s="1"/>
  <c r="K9" i="27"/>
  <c r="K13" i="27" s="1"/>
  <c r="L13" i="119" s="1"/>
  <c r="E9" i="27"/>
  <c r="E13" i="27" s="1"/>
  <c r="I9" i="27"/>
  <c r="I13" i="27" s="1"/>
  <c r="M9" i="27"/>
  <c r="M13" i="27" s="1"/>
  <c r="I42" i="8"/>
  <c r="I11" i="8"/>
  <c r="F27" i="75"/>
  <c r="D28" i="75"/>
  <c r="D30" i="75" s="1"/>
  <c r="D58" i="75" s="1"/>
  <c r="F9" i="27"/>
  <c r="H9" i="27"/>
  <c r="J9" i="27"/>
  <c r="L9" i="27"/>
  <c r="N9" i="27"/>
  <c r="P9" i="27"/>
  <c r="R9" i="27"/>
  <c r="T9" i="27"/>
  <c r="V9" i="27"/>
  <c r="X9" i="27"/>
  <c r="Z9" i="27"/>
  <c r="AB9" i="27"/>
  <c r="AD9" i="27"/>
  <c r="AF9" i="27"/>
  <c r="D10" i="27"/>
  <c r="D13" i="27"/>
  <c r="E46" i="8"/>
  <c r="E9" i="8"/>
  <c r="E37" i="8" s="1"/>
  <c r="O9" i="27"/>
  <c r="Q9" i="27"/>
  <c r="S9" i="27"/>
  <c r="U9" i="27"/>
  <c r="W9" i="27"/>
  <c r="Y9" i="27"/>
  <c r="AA9" i="27"/>
  <c r="AC9" i="27"/>
  <c r="AE9" i="27"/>
  <c r="AG9" i="27"/>
  <c r="AI8" i="119"/>
  <c r="E9" i="119"/>
  <c r="G9" i="119"/>
  <c r="I9" i="119"/>
  <c r="K9" i="119"/>
  <c r="M9" i="119"/>
  <c r="O9" i="119"/>
  <c r="Q9" i="119"/>
  <c r="S9" i="119"/>
  <c r="U9" i="119"/>
  <c r="W9" i="119"/>
  <c r="Y9" i="119"/>
  <c r="AA9" i="119"/>
  <c r="AC9" i="119"/>
  <c r="AE9" i="119"/>
  <c r="AG9" i="119"/>
  <c r="F9" i="119"/>
  <c r="H9" i="119"/>
  <c r="J9" i="119"/>
  <c r="L9" i="119"/>
  <c r="N9" i="119"/>
  <c r="P9" i="119"/>
  <c r="R9" i="119"/>
  <c r="T9" i="119"/>
  <c r="V9" i="119"/>
  <c r="X9" i="119"/>
  <c r="Z9" i="119"/>
  <c r="AB9" i="119"/>
  <c r="AD9" i="119"/>
  <c r="AF9" i="119"/>
  <c r="AH9" i="119"/>
  <c r="J25" i="24" l="1"/>
  <c r="K22" i="214"/>
  <c r="AR137" i="24"/>
  <c r="M23" i="214"/>
  <c r="AN121" i="24"/>
  <c r="AW142" i="24"/>
  <c r="AV130" i="24"/>
  <c r="AT130" i="24"/>
  <c r="AO118" i="24"/>
  <c r="AV121" i="24"/>
  <c r="D11" i="75"/>
  <c r="D57" i="75" s="1"/>
  <c r="X25" i="24"/>
  <c r="AQ133" i="24"/>
  <c r="AT124" i="24"/>
  <c r="AR133" i="24"/>
  <c r="Z25" i="24"/>
  <c r="AN25" i="24"/>
  <c r="H25" i="24"/>
  <c r="AU149" i="24"/>
  <c r="AF25" i="24"/>
  <c r="P25" i="24"/>
  <c r="AH25" i="24"/>
  <c r="R25" i="24"/>
  <c r="AR25" i="24"/>
  <c r="AJ25" i="24"/>
  <c r="AB25" i="24"/>
  <c r="T25" i="24"/>
  <c r="L25" i="24"/>
  <c r="AL25" i="24"/>
  <c r="AD25" i="24"/>
  <c r="V25" i="24"/>
  <c r="AM125" i="24"/>
  <c r="AW124" i="24"/>
  <c r="M24" i="214"/>
  <c r="F42" i="8"/>
  <c r="AC2" i="119"/>
  <c r="H42" i="8"/>
  <c r="H11" i="8"/>
  <c r="AV148" i="24"/>
  <c r="AS124" i="24"/>
  <c r="AV124" i="24"/>
  <c r="AP124" i="24"/>
  <c r="AO124" i="24"/>
  <c r="AR124" i="24"/>
  <c r="AU124" i="24"/>
  <c r="AN124" i="24"/>
  <c r="AP130" i="24"/>
  <c r="AP131" i="24" s="1"/>
  <c r="AR130" i="24"/>
  <c r="AQ130" i="24"/>
  <c r="AS130" i="24"/>
  <c r="F11" i="8"/>
  <c r="F25" i="8" s="1"/>
  <c r="F27" i="8" s="1"/>
  <c r="AT133" i="24"/>
  <c r="AT127" i="24"/>
  <c r="AV142" i="24"/>
  <c r="AT118" i="24"/>
  <c r="AL118" i="24"/>
  <c r="AS127" i="24"/>
  <c r="AQ118" i="24"/>
  <c r="AV133" i="24"/>
  <c r="AR127" i="24"/>
  <c r="AV118" i="24"/>
  <c r="AN118" i="24"/>
  <c r="AU133" i="24"/>
  <c r="AU127" i="24"/>
  <c r="AS143" i="24"/>
  <c r="AT143" i="24" s="1"/>
  <c r="AU143" i="24" s="1"/>
  <c r="AS118" i="24"/>
  <c r="AK119" i="24"/>
  <c r="AS139" i="24"/>
  <c r="AS140" i="24" s="1"/>
  <c r="K24" i="214"/>
  <c r="I10" i="27"/>
  <c r="G42" i="8"/>
  <c r="K2" i="119"/>
  <c r="G11" i="8"/>
  <c r="G25" i="8" s="1"/>
  <c r="G27" i="8" s="1"/>
  <c r="AP127" i="24"/>
  <c r="AN128" i="24"/>
  <c r="AO128" i="24" s="1"/>
  <c r="AQ127" i="24"/>
  <c r="AP118" i="24"/>
  <c r="AU118" i="24"/>
  <c r="AU136" i="24"/>
  <c r="AW151" i="24"/>
  <c r="AW152" i="24" s="1"/>
  <c r="AW136" i="24"/>
  <c r="AV149" i="24"/>
  <c r="AW149" i="24" s="1"/>
  <c r="E10" i="27"/>
  <c r="E14" i="27" s="1"/>
  <c r="H4" i="119"/>
  <c r="G66" i="8"/>
  <c r="H4" i="8"/>
  <c r="I3" i="119"/>
  <c r="M25" i="214"/>
  <c r="L25" i="214"/>
  <c r="AV139" i="24"/>
  <c r="AT121" i="24"/>
  <c r="AT115" i="24"/>
  <c r="AU121" i="24"/>
  <c r="AP121" i="24"/>
  <c r="AS137" i="24"/>
  <c r="AT137" i="24" s="1"/>
  <c r="AU137" i="24" s="1"/>
  <c r="AV137" i="24" s="1"/>
  <c r="AM121" i="24"/>
  <c r="AT139" i="24"/>
  <c r="AR121" i="24"/>
  <c r="AL115" i="24"/>
  <c r="AU139" i="24"/>
  <c r="AW139" i="24"/>
  <c r="AP115" i="24"/>
  <c r="AR115" i="24"/>
  <c r="AV115" i="24"/>
  <c r="AP134" i="24"/>
  <c r="AQ134" i="24" s="1"/>
  <c r="AR134" i="24" s="1"/>
  <c r="AS133" i="24"/>
  <c r="D23" i="24"/>
  <c r="F10" i="24"/>
  <c r="F15" i="24" s="1"/>
  <c r="K10" i="27"/>
  <c r="K14" i="27" s="1"/>
  <c r="G14" i="75"/>
  <c r="D16" i="75"/>
  <c r="D44" i="75"/>
  <c r="F34" i="119"/>
  <c r="G35" i="8"/>
  <c r="F26" i="24"/>
  <c r="AQ25" i="24"/>
  <c r="AI25" i="24"/>
  <c r="AA25" i="24"/>
  <c r="S25" i="24"/>
  <c r="K25" i="24"/>
  <c r="AS25" i="24"/>
  <c r="AK25" i="24"/>
  <c r="AC25" i="24"/>
  <c r="U25" i="24"/>
  <c r="M25" i="24"/>
  <c r="AM25" i="24"/>
  <c r="AE25" i="24"/>
  <c r="W25" i="24"/>
  <c r="O25" i="24"/>
  <c r="G25" i="24"/>
  <c r="AO25" i="24"/>
  <c r="AG25" i="24"/>
  <c r="Y25" i="24"/>
  <c r="Q25" i="24"/>
  <c r="I25" i="24"/>
  <c r="AT146" i="24"/>
  <c r="AU146" i="24" s="1"/>
  <c r="AV146" i="24" s="1"/>
  <c r="AW145" i="24"/>
  <c r="AJ116" i="24"/>
  <c r="AU115" i="24"/>
  <c r="AM115" i="24"/>
  <c r="AW115" i="24"/>
  <c r="AO115" i="24"/>
  <c r="AQ115" i="24"/>
  <c r="AS115" i="24"/>
  <c r="AK115" i="24"/>
  <c r="AL122" i="24"/>
  <c r="AW121" i="24"/>
  <c r="AO121" i="24"/>
  <c r="AS121" i="24"/>
  <c r="G31" i="119"/>
  <c r="H33" i="8"/>
  <c r="M10" i="27"/>
  <c r="M14" i="27" s="1"/>
  <c r="G29" i="24"/>
  <c r="AS28" i="24"/>
  <c r="AQ28" i="24"/>
  <c r="AO28" i="24"/>
  <c r="AM28" i="24"/>
  <c r="AK28" i="24"/>
  <c r="AI28" i="24"/>
  <c r="AG28" i="24"/>
  <c r="AE28" i="24"/>
  <c r="AC28" i="24"/>
  <c r="AA28" i="24"/>
  <c r="Y28" i="24"/>
  <c r="W28" i="24"/>
  <c r="U28" i="24"/>
  <c r="S28" i="24"/>
  <c r="Q28" i="24"/>
  <c r="O28" i="24"/>
  <c r="M28" i="24"/>
  <c r="K28" i="24"/>
  <c r="I28" i="24"/>
  <c r="AT28" i="24"/>
  <c r="AR28" i="24"/>
  <c r="AP28" i="24"/>
  <c r="AN28" i="24"/>
  <c r="AL28" i="24"/>
  <c r="AJ28" i="24"/>
  <c r="AH28" i="24"/>
  <c r="AF28" i="24"/>
  <c r="AD28" i="24"/>
  <c r="AB28" i="24"/>
  <c r="Z28" i="24"/>
  <c r="X28" i="24"/>
  <c r="V28" i="24"/>
  <c r="T28" i="24"/>
  <c r="R28" i="24"/>
  <c r="P28" i="24"/>
  <c r="N28" i="24"/>
  <c r="L28" i="24"/>
  <c r="J28" i="24"/>
  <c r="H28" i="24"/>
  <c r="H7" i="24"/>
  <c r="G33" i="119" s="1"/>
  <c r="H67" i="8"/>
  <c r="G69" i="8"/>
  <c r="G51" i="8" s="1"/>
  <c r="G10" i="27"/>
  <c r="G14" i="27" s="1"/>
  <c r="J13" i="119"/>
  <c r="I18" i="27"/>
  <c r="I19" i="27" s="1"/>
  <c r="N13" i="119"/>
  <c r="F13" i="119"/>
  <c r="E14" i="217"/>
  <c r="E10" i="217"/>
  <c r="E13" i="217"/>
  <c r="AF49" i="217"/>
  <c r="AD49" i="217"/>
  <c r="AB49" i="217"/>
  <c r="Z49" i="217"/>
  <c r="X49" i="217"/>
  <c r="V49" i="217"/>
  <c r="T49" i="217"/>
  <c r="R49" i="217"/>
  <c r="P49" i="217"/>
  <c r="N49" i="217"/>
  <c r="L49" i="217"/>
  <c r="J49" i="217"/>
  <c r="H49" i="217"/>
  <c r="F49" i="217"/>
  <c r="D49" i="217"/>
  <c r="C20" i="27"/>
  <c r="AG49" i="217"/>
  <c r="AE49" i="217"/>
  <c r="AC49" i="217"/>
  <c r="AA49" i="217"/>
  <c r="Y49" i="217"/>
  <c r="W49" i="217"/>
  <c r="U49" i="217"/>
  <c r="S49" i="217"/>
  <c r="Q49" i="217"/>
  <c r="O49" i="217"/>
  <c r="M49" i="217"/>
  <c r="K49" i="217"/>
  <c r="I49" i="217"/>
  <c r="G49" i="217"/>
  <c r="E49" i="217"/>
  <c r="D46" i="217"/>
  <c r="E18" i="217"/>
  <c r="K18" i="27"/>
  <c r="K19" i="27" s="1"/>
  <c r="M18" i="27"/>
  <c r="M19" i="27" s="1"/>
  <c r="E18" i="27"/>
  <c r="E19" i="27" s="1"/>
  <c r="G18" i="27"/>
  <c r="G19" i="27" s="1"/>
  <c r="F13" i="8"/>
  <c r="H13" i="119"/>
  <c r="H13" i="8"/>
  <c r="H14" i="8" s="1"/>
  <c r="H20" i="8" s="1"/>
  <c r="H22" i="8" s="1"/>
  <c r="AF11" i="119"/>
  <c r="AB11" i="119"/>
  <c r="X11" i="119"/>
  <c r="T11" i="119"/>
  <c r="P11" i="119"/>
  <c r="L11" i="119"/>
  <c r="H11" i="119"/>
  <c r="H35" i="119" s="1"/>
  <c r="AE11" i="119"/>
  <c r="AA11" i="119"/>
  <c r="W11" i="119"/>
  <c r="S11" i="119"/>
  <c r="O11" i="119"/>
  <c r="K11" i="119"/>
  <c r="G11" i="119"/>
  <c r="G35" i="119" s="1"/>
  <c r="AJ8" i="119"/>
  <c r="AJ9" i="119" s="1"/>
  <c r="AJ11" i="119" s="1"/>
  <c r="AI9" i="119"/>
  <c r="AI11" i="119" s="1"/>
  <c r="AG13" i="27"/>
  <c r="AG10" i="27"/>
  <c r="AC13" i="27"/>
  <c r="AC10" i="27"/>
  <c r="Y13" i="27"/>
  <c r="Y10" i="27"/>
  <c r="U13" i="27"/>
  <c r="U10" i="27"/>
  <c r="Q13" i="27"/>
  <c r="Q10" i="27"/>
  <c r="E42" i="8"/>
  <c r="B37" i="8"/>
  <c r="E11" i="8"/>
  <c r="E36" i="8" s="1"/>
  <c r="E13" i="119"/>
  <c r="E13" i="8"/>
  <c r="D18" i="27"/>
  <c r="D19" i="27" s="1"/>
  <c r="AF13" i="27"/>
  <c r="AF10" i="27"/>
  <c r="AB13" i="27"/>
  <c r="AB10" i="27"/>
  <c r="X13" i="27"/>
  <c r="X10" i="27"/>
  <c r="T13" i="27"/>
  <c r="T10" i="27"/>
  <c r="P13" i="27"/>
  <c r="P10" i="27"/>
  <c r="L13" i="27"/>
  <c r="L10" i="27"/>
  <c r="H13" i="27"/>
  <c r="H10" i="27"/>
  <c r="H25" i="8"/>
  <c r="H27" i="8" s="1"/>
  <c r="G27" i="75"/>
  <c r="F28" i="75"/>
  <c r="F30" i="75" s="1"/>
  <c r="I25" i="8"/>
  <c r="I27" i="8" s="1"/>
  <c r="AH11" i="119"/>
  <c r="AD11" i="119"/>
  <c r="Z11" i="119"/>
  <c r="V11" i="119"/>
  <c r="R11" i="119"/>
  <c r="N11" i="119"/>
  <c r="J11" i="119"/>
  <c r="J35" i="119" s="1"/>
  <c r="F11" i="119"/>
  <c r="F35" i="119" s="1"/>
  <c r="AG11" i="119"/>
  <c r="AC11" i="119"/>
  <c r="Y11" i="119"/>
  <c r="U11" i="119"/>
  <c r="Q11" i="119"/>
  <c r="M11" i="119"/>
  <c r="I11" i="119"/>
  <c r="I35" i="119" s="1"/>
  <c r="E11" i="119"/>
  <c r="E35" i="119" s="1"/>
  <c r="I14" i="27"/>
  <c r="AE13" i="27"/>
  <c r="AE10" i="27"/>
  <c r="AA13" i="27"/>
  <c r="AA10" i="27"/>
  <c r="W13" i="27"/>
  <c r="W10" i="27"/>
  <c r="S13" i="27"/>
  <c r="S10" i="27"/>
  <c r="O13" i="27"/>
  <c r="O10" i="27"/>
  <c r="D27" i="27"/>
  <c r="D14" i="27"/>
  <c r="AD13" i="27"/>
  <c r="AD10" i="27"/>
  <c r="Z13" i="27"/>
  <c r="Z10" i="27"/>
  <c r="V13" i="27"/>
  <c r="V10" i="27"/>
  <c r="R13" i="27"/>
  <c r="R10" i="27"/>
  <c r="N13" i="27"/>
  <c r="N10" i="27"/>
  <c r="J13" i="27"/>
  <c r="J10" i="27"/>
  <c r="F13" i="27"/>
  <c r="F10" i="27"/>
  <c r="D45" i="75"/>
  <c r="E45" i="75"/>
  <c r="AN125" i="24" l="1"/>
  <c r="AO125" i="24" s="1"/>
  <c r="AP125" i="24" s="1"/>
  <c r="AQ125" i="24" s="1"/>
  <c r="AR125" i="24" s="1"/>
  <c r="AS125" i="24" s="1"/>
  <c r="AT125" i="24" s="1"/>
  <c r="AU125" i="24" s="1"/>
  <c r="AV125" i="24" s="1"/>
  <c r="AW125" i="24" s="1"/>
  <c r="AW137" i="24"/>
  <c r="AQ131" i="24"/>
  <c r="AR131" i="24" s="1"/>
  <c r="AS131" i="24" s="1"/>
  <c r="AT131" i="24" s="1"/>
  <c r="AU131" i="24" s="1"/>
  <c r="AV131" i="24" s="1"/>
  <c r="AW131" i="24" s="1"/>
  <c r="AP128" i="24"/>
  <c r="AQ128" i="24" s="1"/>
  <c r="AR128" i="24" s="1"/>
  <c r="AS128" i="24" s="1"/>
  <c r="AT128" i="24" s="1"/>
  <c r="AU128" i="24" s="1"/>
  <c r="AV128" i="24" s="1"/>
  <c r="AW128" i="24" s="1"/>
  <c r="AV143" i="24"/>
  <c r="AW143" i="24" s="1"/>
  <c r="AT140" i="24"/>
  <c r="AU140" i="24" s="1"/>
  <c r="AV140" i="24" s="1"/>
  <c r="AW140" i="24" s="1"/>
  <c r="AL119" i="24"/>
  <c r="AM119" i="24" s="1"/>
  <c r="AN119" i="24" s="1"/>
  <c r="AO119" i="24" s="1"/>
  <c r="AP119" i="24" s="1"/>
  <c r="AQ119" i="24" s="1"/>
  <c r="AR119" i="24" s="1"/>
  <c r="AS119" i="24" s="1"/>
  <c r="AT119" i="24" s="1"/>
  <c r="AU119" i="24" s="1"/>
  <c r="AV119" i="24" s="1"/>
  <c r="AW119" i="24" s="1"/>
  <c r="F14" i="8"/>
  <c r="F20" i="8" s="1"/>
  <c r="F22" i="8" s="1"/>
  <c r="AM122" i="24"/>
  <c r="AN122" i="24" s="1"/>
  <c r="AO122" i="24" s="1"/>
  <c r="AP122" i="24" s="1"/>
  <c r="AQ122" i="24" s="1"/>
  <c r="AR122" i="24" s="1"/>
  <c r="AS122" i="24" s="1"/>
  <c r="AT122" i="24" s="1"/>
  <c r="AU122" i="24" s="1"/>
  <c r="AV122" i="24" s="1"/>
  <c r="AW122" i="24" s="1"/>
  <c r="J3" i="119"/>
  <c r="J51" i="119"/>
  <c r="J25" i="119"/>
  <c r="H66" i="8"/>
  <c r="I4" i="8"/>
  <c r="I4" i="119"/>
  <c r="K35" i="119"/>
  <c r="D46" i="75"/>
  <c r="D49" i="75" s="1"/>
  <c r="D50" i="75" s="1"/>
  <c r="AS134" i="24"/>
  <c r="AT134" i="24" s="1"/>
  <c r="AU134" i="24" s="1"/>
  <c r="AV134" i="24" s="1"/>
  <c r="AW134" i="24" s="1"/>
  <c r="AW146" i="24"/>
  <c r="AG44" i="75"/>
  <c r="AC44" i="75"/>
  <c r="Y44" i="75"/>
  <c r="U44" i="75"/>
  <c r="Q44" i="75"/>
  <c r="M44" i="75"/>
  <c r="I44" i="75"/>
  <c r="E44" i="75"/>
  <c r="E46" i="75" s="1"/>
  <c r="E49" i="75" s="1"/>
  <c r="E50" i="75" s="1"/>
  <c r="AD44" i="75"/>
  <c r="Z44" i="75"/>
  <c r="V44" i="75"/>
  <c r="R44" i="75"/>
  <c r="N44" i="75"/>
  <c r="J44" i="75"/>
  <c r="F44" i="75"/>
  <c r="AE44" i="75"/>
  <c r="AA44" i="75"/>
  <c r="W44" i="75"/>
  <c r="S44" i="75"/>
  <c r="O44" i="75"/>
  <c r="K44" i="75"/>
  <c r="G44" i="75"/>
  <c r="AF44" i="75"/>
  <c r="AB44" i="75"/>
  <c r="X44" i="75"/>
  <c r="T44" i="75"/>
  <c r="P44" i="75"/>
  <c r="L44" i="75"/>
  <c r="H44" i="75"/>
  <c r="F157" i="24"/>
  <c r="F158" i="24" s="1"/>
  <c r="D25" i="27"/>
  <c r="B26" i="27" s="1"/>
  <c r="D55" i="75"/>
  <c r="B56" i="75" s="1"/>
  <c r="E36" i="119"/>
  <c r="E37" i="119" s="1"/>
  <c r="J36" i="119"/>
  <c r="D21" i="75"/>
  <c r="H14" i="75"/>
  <c r="F36" i="119"/>
  <c r="AP22" i="24"/>
  <c r="AL22" i="24"/>
  <c r="AH22" i="24"/>
  <c r="AD22" i="24"/>
  <c r="Z22" i="24"/>
  <c r="V22" i="24"/>
  <c r="R22" i="24"/>
  <c r="N22" i="24"/>
  <c r="J22" i="24"/>
  <c r="F22" i="24"/>
  <c r="F23" i="24" s="1"/>
  <c r="AQ22" i="24"/>
  <c r="AM22" i="24"/>
  <c r="AI22" i="24"/>
  <c r="AE22" i="24"/>
  <c r="AA22" i="24"/>
  <c r="W22" i="24"/>
  <c r="S22" i="24"/>
  <c r="O22" i="24"/>
  <c r="K22" i="24"/>
  <c r="G22" i="24"/>
  <c r="AR22" i="24"/>
  <c r="AN22" i="24"/>
  <c r="AJ22" i="24"/>
  <c r="AF22" i="24"/>
  <c r="AB22" i="24"/>
  <c r="X22" i="24"/>
  <c r="T22" i="24"/>
  <c r="P22" i="24"/>
  <c r="L22" i="24"/>
  <c r="H22" i="24"/>
  <c r="AO22" i="24"/>
  <c r="AK22" i="24"/>
  <c r="AG22" i="24"/>
  <c r="AC22" i="24"/>
  <c r="Y22" i="24"/>
  <c r="U22" i="24"/>
  <c r="Q22" i="24"/>
  <c r="M22" i="24"/>
  <c r="I22" i="24"/>
  <c r="G26" i="24"/>
  <c r="H26" i="24" s="1"/>
  <c r="I26" i="24" s="1"/>
  <c r="J26" i="24" s="1"/>
  <c r="I33" i="8"/>
  <c r="H31" i="119"/>
  <c r="H35" i="8"/>
  <c r="G34" i="119"/>
  <c r="AK116" i="24"/>
  <c r="AL116" i="24" s="1"/>
  <c r="AM116" i="24" s="1"/>
  <c r="AN116" i="24" s="1"/>
  <c r="AO116" i="24" s="1"/>
  <c r="AP116" i="24" s="1"/>
  <c r="AQ116" i="24" s="1"/>
  <c r="AR116" i="24" s="1"/>
  <c r="AS116" i="24" s="1"/>
  <c r="AT116" i="24" s="1"/>
  <c r="AU116" i="24" s="1"/>
  <c r="AV116" i="24" s="1"/>
  <c r="AW116" i="24" s="1"/>
  <c r="I7" i="24"/>
  <c r="H33" i="119" s="1"/>
  <c r="H69" i="8"/>
  <c r="H51" i="8" s="1"/>
  <c r="I67" i="8"/>
  <c r="H12" i="24"/>
  <c r="D32" i="24"/>
  <c r="H29" i="24"/>
  <c r="AG30" i="217"/>
  <c r="AE30" i="217"/>
  <c r="AC30" i="217"/>
  <c r="AA30" i="217"/>
  <c r="Y30" i="217"/>
  <c r="W30" i="217"/>
  <c r="U30" i="217"/>
  <c r="S30" i="217"/>
  <c r="Q30" i="217"/>
  <c r="O30" i="217"/>
  <c r="M30" i="217"/>
  <c r="K30" i="217"/>
  <c r="I30" i="217"/>
  <c r="G30" i="217"/>
  <c r="D27" i="217"/>
  <c r="AF30" i="217"/>
  <c r="AD30" i="217"/>
  <c r="AB30" i="217"/>
  <c r="Z30" i="217"/>
  <c r="X30" i="217"/>
  <c r="V30" i="217"/>
  <c r="T30" i="217"/>
  <c r="R30" i="217"/>
  <c r="P30" i="217"/>
  <c r="N30" i="217"/>
  <c r="L30" i="217"/>
  <c r="J30" i="217"/>
  <c r="H30" i="217"/>
  <c r="F30" i="217"/>
  <c r="D30" i="217"/>
  <c r="E30" i="217"/>
  <c r="E19" i="217"/>
  <c r="E21" i="217"/>
  <c r="E15" i="217"/>
  <c r="D47" i="217"/>
  <c r="D48" i="217" s="1"/>
  <c r="E18" i="8" s="1"/>
  <c r="E50" i="8" s="1"/>
  <c r="G13" i="119"/>
  <c r="G14" i="119" s="1"/>
  <c r="G13" i="8"/>
  <c r="G14" i="8" s="1"/>
  <c r="G20" i="8" s="1"/>
  <c r="G22" i="8" s="1"/>
  <c r="F18" i="27"/>
  <c r="F19" i="27" s="1"/>
  <c r="O13" i="119"/>
  <c r="O14" i="119" s="1"/>
  <c r="N18" i="27"/>
  <c r="N19" i="27" s="1"/>
  <c r="W13" i="119"/>
  <c r="W14" i="119" s="1"/>
  <c r="V18" i="27"/>
  <c r="V19" i="27" s="1"/>
  <c r="AE13" i="119"/>
  <c r="AE14" i="119" s="1"/>
  <c r="AD18" i="27"/>
  <c r="AD19" i="27" s="1"/>
  <c r="E34" i="8"/>
  <c r="E38" i="8" s="1"/>
  <c r="T13" i="119"/>
  <c r="T14" i="119" s="1"/>
  <c r="S18" i="27"/>
  <c r="S19" i="27" s="1"/>
  <c r="AB13" i="119"/>
  <c r="AB14" i="119" s="1"/>
  <c r="AA18" i="27"/>
  <c r="AA19" i="27" s="1"/>
  <c r="F14" i="27"/>
  <c r="J14" i="27"/>
  <c r="N14" i="27"/>
  <c r="R14" i="27"/>
  <c r="V14" i="27"/>
  <c r="Z14" i="27"/>
  <c r="AD14" i="27"/>
  <c r="O14" i="27"/>
  <c r="S14" i="27"/>
  <c r="W14" i="27"/>
  <c r="AA14" i="27"/>
  <c r="AE14" i="27"/>
  <c r="E23" i="119"/>
  <c r="E18" i="119"/>
  <c r="E49" i="119"/>
  <c r="E14" i="119"/>
  <c r="I23" i="119"/>
  <c r="I18" i="119"/>
  <c r="I49" i="119"/>
  <c r="I36" i="119"/>
  <c r="M23" i="119"/>
  <c r="M18" i="119"/>
  <c r="M49" i="119"/>
  <c r="Q23" i="119"/>
  <c r="Q18" i="119"/>
  <c r="Q49" i="119"/>
  <c r="U23" i="119"/>
  <c r="U18" i="119"/>
  <c r="U49" i="119"/>
  <c r="Y23" i="119"/>
  <c r="Y18" i="119"/>
  <c r="Y49" i="119"/>
  <c r="AC23" i="119"/>
  <c r="AC18" i="119"/>
  <c r="AC49" i="119"/>
  <c r="AG23" i="119"/>
  <c r="AG18" i="119"/>
  <c r="AG49" i="119"/>
  <c r="F45" i="75"/>
  <c r="H14" i="27"/>
  <c r="L14" i="27"/>
  <c r="P14" i="27"/>
  <c r="T14" i="27"/>
  <c r="X14" i="27"/>
  <c r="AB14" i="27"/>
  <c r="AF14" i="27"/>
  <c r="E25" i="8"/>
  <c r="E27" i="8" s="1"/>
  <c r="E14" i="8"/>
  <c r="I37" i="8"/>
  <c r="G37" i="8"/>
  <c r="H37" i="8"/>
  <c r="F37" i="8"/>
  <c r="R13" i="119"/>
  <c r="R14" i="119" s="1"/>
  <c r="Q18" i="27"/>
  <c r="Q19" i="27" s="1"/>
  <c r="V13" i="119"/>
  <c r="V14" i="119" s="1"/>
  <c r="U18" i="27"/>
  <c r="U19" i="27" s="1"/>
  <c r="Z13" i="119"/>
  <c r="Z14" i="119" s="1"/>
  <c r="Y18" i="27"/>
  <c r="Y19" i="27" s="1"/>
  <c r="AD13" i="119"/>
  <c r="AD14" i="119" s="1"/>
  <c r="AC18" i="27"/>
  <c r="AC19" i="27" s="1"/>
  <c r="AH13" i="119"/>
  <c r="AH14" i="119" s="1"/>
  <c r="AG18" i="27"/>
  <c r="AG19" i="27" s="1"/>
  <c r="AJ45" i="119"/>
  <c r="AJ44" i="119"/>
  <c r="AJ34" i="119"/>
  <c r="AJ37" i="119" s="1"/>
  <c r="H49" i="119"/>
  <c r="H36" i="119"/>
  <c r="H14" i="119"/>
  <c r="H23" i="119"/>
  <c r="H18" i="119"/>
  <c r="L49" i="119"/>
  <c r="L14" i="119"/>
  <c r="L23" i="119"/>
  <c r="L18" i="119"/>
  <c r="P49" i="119"/>
  <c r="P23" i="119"/>
  <c r="P18" i="119"/>
  <c r="T49" i="119"/>
  <c r="T23" i="119"/>
  <c r="T18" i="119"/>
  <c r="X49" i="119"/>
  <c r="X23" i="119"/>
  <c r="X18" i="119"/>
  <c r="AB49" i="119"/>
  <c r="AB23" i="119"/>
  <c r="AB18" i="119"/>
  <c r="AF49" i="119"/>
  <c r="AF23" i="119"/>
  <c r="AF18" i="119"/>
  <c r="D35" i="75"/>
  <c r="D40" i="75" s="1"/>
  <c r="D41" i="75" s="1"/>
  <c r="K13" i="119"/>
  <c r="K14" i="119" s="1"/>
  <c r="J18" i="27"/>
  <c r="J19" i="27" s="1"/>
  <c r="S13" i="119"/>
  <c r="S14" i="119" s="1"/>
  <c r="R18" i="27"/>
  <c r="R19" i="27" s="1"/>
  <c r="AA13" i="119"/>
  <c r="AA14" i="119" s="1"/>
  <c r="Z18" i="27"/>
  <c r="Z19" i="27" s="1"/>
  <c r="P13" i="119"/>
  <c r="O18" i="27"/>
  <c r="O19" i="27" s="1"/>
  <c r="X13" i="119"/>
  <c r="W18" i="27"/>
  <c r="W19" i="27" s="1"/>
  <c r="AF13" i="119"/>
  <c r="AE18" i="27"/>
  <c r="AE19" i="27" s="1"/>
  <c r="F49" i="119"/>
  <c r="F14" i="119"/>
  <c r="F23" i="119"/>
  <c r="F18" i="119"/>
  <c r="J49" i="119"/>
  <c r="J14" i="119"/>
  <c r="J23" i="119"/>
  <c r="J18" i="119"/>
  <c r="N49" i="119"/>
  <c r="N14" i="119"/>
  <c r="N23" i="119"/>
  <c r="N18" i="119"/>
  <c r="R49" i="119"/>
  <c r="R23" i="119"/>
  <c r="R18" i="119"/>
  <c r="V49" i="119"/>
  <c r="V23" i="119"/>
  <c r="V18" i="119"/>
  <c r="Z49" i="119"/>
  <c r="Z23" i="119"/>
  <c r="Z18" i="119"/>
  <c r="AD49" i="119"/>
  <c r="AD23" i="119"/>
  <c r="AD18" i="119"/>
  <c r="AH49" i="119"/>
  <c r="AH23" i="119"/>
  <c r="AH18" i="119"/>
  <c r="G28" i="75"/>
  <c r="G30" i="75" s="1"/>
  <c r="H27" i="75"/>
  <c r="I13" i="119"/>
  <c r="I14" i="119" s="1"/>
  <c r="I13" i="8"/>
  <c r="I14" i="8" s="1"/>
  <c r="I20" i="8" s="1"/>
  <c r="I22" i="8" s="1"/>
  <c r="H18" i="27"/>
  <c r="H19" i="27" s="1"/>
  <c r="M13" i="119"/>
  <c r="M14" i="119" s="1"/>
  <c r="L18" i="27"/>
  <c r="L19" i="27" s="1"/>
  <c r="Q13" i="119"/>
  <c r="Q14" i="119" s="1"/>
  <c r="P18" i="27"/>
  <c r="P19" i="27" s="1"/>
  <c r="U13" i="119"/>
  <c r="U14" i="119" s="1"/>
  <c r="T18" i="27"/>
  <c r="T19" i="27" s="1"/>
  <c r="Y13" i="119"/>
  <c r="Y14" i="119" s="1"/>
  <c r="X18" i="27"/>
  <c r="X19" i="27" s="1"/>
  <c r="AC13" i="119"/>
  <c r="AC14" i="119" s="1"/>
  <c r="AB18" i="27"/>
  <c r="AB19" i="27" s="1"/>
  <c r="AG13" i="119"/>
  <c r="AG14" i="119" s="1"/>
  <c r="AF18" i="27"/>
  <c r="AF19" i="27" s="1"/>
  <c r="Q14" i="27"/>
  <c r="U14" i="27"/>
  <c r="Y14" i="27"/>
  <c r="AC14" i="27"/>
  <c r="AG14" i="27"/>
  <c r="AI34" i="119"/>
  <c r="AI37" i="119" s="1"/>
  <c r="AI45" i="119"/>
  <c r="AI44" i="119"/>
  <c r="G23" i="119"/>
  <c r="G18" i="119"/>
  <c r="G49" i="119"/>
  <c r="G36" i="119"/>
  <c r="K23" i="119"/>
  <c r="K18" i="119"/>
  <c r="K49" i="119"/>
  <c r="K36" i="119"/>
  <c r="O23" i="119"/>
  <c r="O18" i="119"/>
  <c r="O49" i="119"/>
  <c r="S23" i="119"/>
  <c r="S18" i="119"/>
  <c r="S49" i="119"/>
  <c r="W23" i="119"/>
  <c r="W18" i="119"/>
  <c r="W49" i="119"/>
  <c r="AA23" i="119"/>
  <c r="AA18" i="119"/>
  <c r="AA49" i="119"/>
  <c r="AE23" i="119"/>
  <c r="AE18" i="119"/>
  <c r="AE49" i="119"/>
  <c r="D52" i="75" l="1"/>
  <c r="J4" i="119"/>
  <c r="I66" i="8"/>
  <c r="K3" i="119"/>
  <c r="K25" i="119"/>
  <c r="K51" i="119"/>
  <c r="F46" i="75"/>
  <c r="F49" i="75" s="1"/>
  <c r="F50" i="75" s="1"/>
  <c r="G23" i="24"/>
  <c r="F20" i="24"/>
  <c r="F19" i="24"/>
  <c r="F11" i="24" s="1"/>
  <c r="F13" i="24" s="1"/>
  <c r="G10" i="24" s="1"/>
  <c r="I14" i="75"/>
  <c r="E17" i="119"/>
  <c r="E19" i="119" s="1"/>
  <c r="D22" i="75"/>
  <c r="I31" i="119"/>
  <c r="J31" i="119" s="1"/>
  <c r="K31" i="119" s="1"/>
  <c r="L31" i="119" s="1"/>
  <c r="M31" i="119" s="1"/>
  <c r="N31" i="119" s="1"/>
  <c r="O31" i="119" s="1"/>
  <c r="P31" i="119" s="1"/>
  <c r="Q31" i="119" s="1"/>
  <c r="R31" i="119" s="1"/>
  <c r="S31" i="119" s="1"/>
  <c r="T31" i="119" s="1"/>
  <c r="U31" i="119" s="1"/>
  <c r="V31" i="119" s="1"/>
  <c r="W31" i="119" s="1"/>
  <c r="X31" i="119" s="1"/>
  <c r="Y31" i="119" s="1"/>
  <c r="Z31" i="119" s="1"/>
  <c r="AA31" i="119" s="1"/>
  <c r="AB31" i="119" s="1"/>
  <c r="AC31" i="119" s="1"/>
  <c r="AD31" i="119" s="1"/>
  <c r="AE31" i="119" s="1"/>
  <c r="AF31" i="119" s="1"/>
  <c r="AG31" i="119" s="1"/>
  <c r="AH31" i="119" s="1"/>
  <c r="I35" i="8"/>
  <c r="H34" i="119"/>
  <c r="K26" i="24"/>
  <c r="H32" i="24"/>
  <c r="AT31" i="24"/>
  <c r="AR31" i="24"/>
  <c r="AP31" i="24"/>
  <c r="AN31" i="24"/>
  <c r="AL31" i="24"/>
  <c r="AJ31" i="24"/>
  <c r="AH31" i="24"/>
  <c r="AF31" i="24"/>
  <c r="AD31" i="24"/>
  <c r="AB31" i="24"/>
  <c r="Z31" i="24"/>
  <c r="X31" i="24"/>
  <c r="V31" i="24"/>
  <c r="T31" i="24"/>
  <c r="R31" i="24"/>
  <c r="P31" i="24"/>
  <c r="N31" i="24"/>
  <c r="L31" i="24"/>
  <c r="J31" i="24"/>
  <c r="AU31" i="24"/>
  <c r="AS31" i="24"/>
  <c r="AQ31" i="24"/>
  <c r="AO31" i="24"/>
  <c r="AM31" i="24"/>
  <c r="AK31" i="24"/>
  <c r="AI31" i="24"/>
  <c r="AG31" i="24"/>
  <c r="AE31" i="24"/>
  <c r="AC31" i="24"/>
  <c r="AA31" i="24"/>
  <c r="Y31" i="24"/>
  <c r="W31" i="24"/>
  <c r="U31" i="24"/>
  <c r="S31" i="24"/>
  <c r="Q31" i="24"/>
  <c r="O31" i="24"/>
  <c r="M31" i="24"/>
  <c r="K31" i="24"/>
  <c r="I31" i="24"/>
  <c r="J7" i="24"/>
  <c r="I69" i="8"/>
  <c r="I51" i="8" s="1"/>
  <c r="I29" i="24"/>
  <c r="D35" i="24"/>
  <c r="I12" i="24"/>
  <c r="D50" i="217"/>
  <c r="E46" i="217" s="1"/>
  <c r="AG40" i="217"/>
  <c r="AE40" i="217"/>
  <c r="AC40" i="217"/>
  <c r="AA40" i="217"/>
  <c r="Y40" i="217"/>
  <c r="W40" i="217"/>
  <c r="U40" i="217"/>
  <c r="S40" i="217"/>
  <c r="Q40" i="217"/>
  <c r="O40" i="217"/>
  <c r="M40" i="217"/>
  <c r="K40" i="217"/>
  <c r="I40" i="217"/>
  <c r="G40" i="217"/>
  <c r="E40" i="217"/>
  <c r="D37" i="217"/>
  <c r="E22" i="217"/>
  <c r="AF40" i="217"/>
  <c r="AD40" i="217"/>
  <c r="AB40" i="217"/>
  <c r="Z40" i="217"/>
  <c r="X40" i="217"/>
  <c r="V40" i="217"/>
  <c r="T40" i="217"/>
  <c r="R40" i="217"/>
  <c r="P40" i="217"/>
  <c r="N40" i="217"/>
  <c r="L40" i="217"/>
  <c r="J40" i="217"/>
  <c r="H40" i="217"/>
  <c r="F40" i="217"/>
  <c r="D40" i="217"/>
  <c r="E43" i="119"/>
  <c r="I43" i="119"/>
  <c r="M43" i="119"/>
  <c r="Q43" i="119"/>
  <c r="U43" i="119"/>
  <c r="Y43" i="119"/>
  <c r="AC43" i="119"/>
  <c r="AG43" i="119"/>
  <c r="H43" i="119"/>
  <c r="L43" i="119"/>
  <c r="P43" i="119"/>
  <c r="T43" i="119"/>
  <c r="X43" i="119"/>
  <c r="AB43" i="119"/>
  <c r="AF43" i="119"/>
  <c r="F43" i="119"/>
  <c r="G43" i="119"/>
  <c r="K43" i="119"/>
  <c r="O43" i="119"/>
  <c r="S43" i="119"/>
  <c r="W43" i="119"/>
  <c r="AA43" i="119"/>
  <c r="AE43" i="119"/>
  <c r="D28" i="217"/>
  <c r="D29" i="217" s="1"/>
  <c r="J43" i="119"/>
  <c r="N43" i="119"/>
  <c r="R43" i="119"/>
  <c r="V43" i="119"/>
  <c r="Z43" i="119"/>
  <c r="AD43" i="119"/>
  <c r="AH43" i="119"/>
  <c r="C19" i="27"/>
  <c r="AE50" i="119"/>
  <c r="AE24" i="119"/>
  <c r="AA50" i="119"/>
  <c r="AA24" i="119"/>
  <c r="W50" i="119"/>
  <c r="W24" i="119"/>
  <c r="S50" i="119"/>
  <c r="S24" i="119"/>
  <c r="O50" i="119"/>
  <c r="O24" i="119"/>
  <c r="K50" i="119"/>
  <c r="K24" i="119"/>
  <c r="G50" i="119"/>
  <c r="G24" i="119"/>
  <c r="I27" i="75"/>
  <c r="H28" i="75"/>
  <c r="H30" i="75" s="1"/>
  <c r="AH50" i="119"/>
  <c r="AD50" i="119"/>
  <c r="Z50" i="119"/>
  <c r="V50" i="119"/>
  <c r="R50" i="119"/>
  <c r="N50" i="119"/>
  <c r="J50" i="119"/>
  <c r="F50" i="119"/>
  <c r="AF24" i="119"/>
  <c r="AB24" i="119"/>
  <c r="X24" i="119"/>
  <c r="T24" i="119"/>
  <c r="P24" i="119"/>
  <c r="L24" i="119"/>
  <c r="H24" i="119"/>
  <c r="E20" i="8"/>
  <c r="E22" i="8" s="1"/>
  <c r="E29" i="8" s="1"/>
  <c r="E44" i="8" s="1"/>
  <c r="AG50" i="119"/>
  <c r="AG24" i="119"/>
  <c r="AC50" i="119"/>
  <c r="AC24" i="119"/>
  <c r="Y50" i="119"/>
  <c r="Y24" i="119"/>
  <c r="U50" i="119"/>
  <c r="U24" i="119"/>
  <c r="Q50" i="119"/>
  <c r="Q24" i="119"/>
  <c r="M50" i="119"/>
  <c r="M24" i="119"/>
  <c r="I50" i="119"/>
  <c r="I24" i="119"/>
  <c r="E50" i="119"/>
  <c r="E24" i="119"/>
  <c r="E61" i="8"/>
  <c r="G45" i="75"/>
  <c r="G46" i="75" s="1"/>
  <c r="G49" i="75" s="1"/>
  <c r="G50" i="75" s="1"/>
  <c r="AH24" i="119"/>
  <c r="AD24" i="119"/>
  <c r="Z24" i="119"/>
  <c r="V24" i="119"/>
  <c r="R24" i="119"/>
  <c r="N24" i="119"/>
  <c r="J24" i="119"/>
  <c r="F24" i="119"/>
  <c r="AF14" i="119"/>
  <c r="AF50" i="119"/>
  <c r="AB50" i="119"/>
  <c r="X14" i="119"/>
  <c r="X50" i="119"/>
  <c r="T50" i="119"/>
  <c r="P14" i="119"/>
  <c r="P50" i="119"/>
  <c r="L50" i="119"/>
  <c r="H50" i="119"/>
  <c r="I33" i="119" l="1"/>
  <c r="K7" i="24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AI7" i="24" s="1"/>
  <c r="G157" i="24"/>
  <c r="G158" i="24" s="1"/>
  <c r="E25" i="27"/>
  <c r="E26" i="27" s="1"/>
  <c r="E27" i="27" s="1"/>
  <c r="F34" i="8" s="1"/>
  <c r="F38" i="8" s="1"/>
  <c r="L3" i="119"/>
  <c r="L25" i="119"/>
  <c r="L26" i="119" s="1"/>
  <c r="L51" i="119"/>
  <c r="L36" i="119"/>
  <c r="L35" i="119"/>
  <c r="K4" i="119"/>
  <c r="G15" i="24"/>
  <c r="E55" i="75"/>
  <c r="E56" i="75" s="1"/>
  <c r="E35" i="75" s="1"/>
  <c r="E40" i="75" s="1"/>
  <c r="E41" i="75" s="1"/>
  <c r="E52" i="75" s="1"/>
  <c r="H23" i="24"/>
  <c r="I23" i="24" s="1"/>
  <c r="J23" i="24" s="1"/>
  <c r="K23" i="24" s="1"/>
  <c r="L23" i="24" s="1"/>
  <c r="M23" i="24" s="1"/>
  <c r="N23" i="24" s="1"/>
  <c r="O23" i="24" s="1"/>
  <c r="P23" i="24" s="1"/>
  <c r="Q23" i="24" s="1"/>
  <c r="R23" i="24" s="1"/>
  <c r="S23" i="24" s="1"/>
  <c r="T23" i="24" s="1"/>
  <c r="U23" i="24" s="1"/>
  <c r="V23" i="24" s="1"/>
  <c r="W23" i="24" s="1"/>
  <c r="X23" i="24" s="1"/>
  <c r="Y23" i="24" s="1"/>
  <c r="Z23" i="24" s="1"/>
  <c r="AA23" i="24" s="1"/>
  <c r="AB23" i="24" s="1"/>
  <c r="AC23" i="24" s="1"/>
  <c r="AD23" i="24" s="1"/>
  <c r="AE23" i="24" s="1"/>
  <c r="AF23" i="24" s="1"/>
  <c r="AG23" i="24" s="1"/>
  <c r="AH23" i="24" s="1"/>
  <c r="AI23" i="24" s="1"/>
  <c r="AJ23" i="24" s="1"/>
  <c r="AK23" i="24" s="1"/>
  <c r="AL23" i="24" s="1"/>
  <c r="AM23" i="24" s="1"/>
  <c r="AN23" i="24" s="1"/>
  <c r="AO23" i="24" s="1"/>
  <c r="AP23" i="24" s="1"/>
  <c r="AQ23" i="24" s="1"/>
  <c r="AR23" i="24" s="1"/>
  <c r="G19" i="24"/>
  <c r="G11" i="24" s="1"/>
  <c r="G13" i="24" s="1"/>
  <c r="H10" i="24" s="1"/>
  <c r="G20" i="24"/>
  <c r="J14" i="75"/>
  <c r="I34" i="119"/>
  <c r="J34" i="119" s="1"/>
  <c r="K34" i="119" s="1"/>
  <c r="L34" i="119" s="1"/>
  <c r="M34" i="119" s="1"/>
  <c r="N34" i="119" s="1"/>
  <c r="O34" i="119" s="1"/>
  <c r="P34" i="119" s="1"/>
  <c r="Q34" i="119" s="1"/>
  <c r="R34" i="119" s="1"/>
  <c r="S34" i="119" s="1"/>
  <c r="T34" i="119" s="1"/>
  <c r="U34" i="119" s="1"/>
  <c r="V34" i="119" s="1"/>
  <c r="W34" i="119" s="1"/>
  <c r="X34" i="119" s="1"/>
  <c r="Y34" i="119" s="1"/>
  <c r="Z34" i="119" s="1"/>
  <c r="AA34" i="119" s="1"/>
  <c r="AB34" i="119" s="1"/>
  <c r="AC34" i="119" s="1"/>
  <c r="AD34" i="119" s="1"/>
  <c r="AE34" i="119" s="1"/>
  <c r="AF34" i="119" s="1"/>
  <c r="AG34" i="119" s="1"/>
  <c r="AH34" i="119" s="1"/>
  <c r="I35" i="24"/>
  <c r="AU34" i="24"/>
  <c r="AS34" i="24"/>
  <c r="AQ34" i="24"/>
  <c r="AO34" i="24"/>
  <c r="AM34" i="24"/>
  <c r="AK34" i="24"/>
  <c r="AI34" i="24"/>
  <c r="AG34" i="24"/>
  <c r="AE34" i="24"/>
  <c r="AC34" i="24"/>
  <c r="AA34" i="24"/>
  <c r="Y34" i="24"/>
  <c r="AT34" i="24"/>
  <c r="AP34" i="24"/>
  <c r="AL34" i="24"/>
  <c r="AH34" i="24"/>
  <c r="AD34" i="24"/>
  <c r="Z34" i="24"/>
  <c r="W34" i="24"/>
  <c r="U34" i="24"/>
  <c r="S34" i="24"/>
  <c r="Q34" i="24"/>
  <c r="O34" i="24"/>
  <c r="M34" i="24"/>
  <c r="K34" i="24"/>
  <c r="AV34" i="24"/>
  <c r="AR34" i="24"/>
  <c r="AN34" i="24"/>
  <c r="AJ34" i="24"/>
  <c r="AF34" i="24"/>
  <c r="AB34" i="24"/>
  <c r="X34" i="24"/>
  <c r="V34" i="24"/>
  <c r="T34" i="24"/>
  <c r="R34" i="24"/>
  <c r="P34" i="24"/>
  <c r="N34" i="24"/>
  <c r="L34" i="24"/>
  <c r="J34" i="24"/>
  <c r="J29" i="24"/>
  <c r="D38" i="24"/>
  <c r="J12" i="24"/>
  <c r="I32" i="24"/>
  <c r="J32" i="24" s="1"/>
  <c r="K32" i="24" s="1"/>
  <c r="L32" i="24" s="1"/>
  <c r="M32" i="24" s="1"/>
  <c r="N32" i="24" s="1"/>
  <c r="O32" i="24" s="1"/>
  <c r="P32" i="24" s="1"/>
  <c r="Q32" i="24" s="1"/>
  <c r="R32" i="24" s="1"/>
  <c r="S32" i="24" s="1"/>
  <c r="T32" i="24" s="1"/>
  <c r="U32" i="24" s="1"/>
  <c r="V32" i="24" s="1"/>
  <c r="W32" i="24" s="1"/>
  <c r="X32" i="24" s="1"/>
  <c r="Y32" i="24" s="1"/>
  <c r="Z32" i="24" s="1"/>
  <c r="AA32" i="24" s="1"/>
  <c r="AB32" i="24" s="1"/>
  <c r="AC32" i="24" s="1"/>
  <c r="AD32" i="24" s="1"/>
  <c r="AE32" i="24" s="1"/>
  <c r="AF32" i="24" s="1"/>
  <c r="AG32" i="24" s="1"/>
  <c r="AH32" i="24" s="1"/>
  <c r="AI32" i="24" s="1"/>
  <c r="AJ32" i="24" s="1"/>
  <c r="AK32" i="24" s="1"/>
  <c r="AL32" i="24" s="1"/>
  <c r="AM32" i="24" s="1"/>
  <c r="AN32" i="24" s="1"/>
  <c r="AO32" i="24" s="1"/>
  <c r="AP32" i="24" s="1"/>
  <c r="AQ32" i="24" s="1"/>
  <c r="AR32" i="24" s="1"/>
  <c r="AS32" i="24" s="1"/>
  <c r="AT32" i="24" s="1"/>
  <c r="AU32" i="24" s="1"/>
  <c r="H19" i="24"/>
  <c r="H11" i="24" s="1"/>
  <c r="L26" i="24"/>
  <c r="D31" i="217"/>
  <c r="E27" i="217" s="1"/>
  <c r="E28" i="217" s="1"/>
  <c r="E29" i="217" s="1"/>
  <c r="E44" i="119"/>
  <c r="I44" i="119"/>
  <c r="M44" i="119"/>
  <c r="Q44" i="119"/>
  <c r="U44" i="119"/>
  <c r="Y44" i="119"/>
  <c r="AC44" i="119"/>
  <c r="AG44" i="119"/>
  <c r="D38" i="217"/>
  <c r="D39" i="217" s="1"/>
  <c r="D41" i="217" s="1"/>
  <c r="E37" i="217" s="1"/>
  <c r="E38" i="217" s="1"/>
  <c r="E39" i="217" s="1"/>
  <c r="E41" i="217" s="1"/>
  <c r="F37" i="217" s="1"/>
  <c r="H44" i="119"/>
  <c r="L44" i="119"/>
  <c r="P44" i="119"/>
  <c r="T44" i="119"/>
  <c r="X44" i="119"/>
  <c r="AB44" i="119"/>
  <c r="AF44" i="119"/>
  <c r="E47" i="217"/>
  <c r="E48" i="217" s="1"/>
  <c r="F18" i="8" s="1"/>
  <c r="G44" i="119"/>
  <c r="K44" i="119"/>
  <c r="O44" i="119"/>
  <c r="S44" i="119"/>
  <c r="W44" i="119"/>
  <c r="AA44" i="119"/>
  <c r="AE44" i="119"/>
  <c r="F44" i="119"/>
  <c r="J44" i="119"/>
  <c r="N44" i="119"/>
  <c r="R44" i="119"/>
  <c r="V44" i="119"/>
  <c r="Z44" i="119"/>
  <c r="AD44" i="119"/>
  <c r="AH44" i="119"/>
  <c r="E62" i="8"/>
  <c r="C21" i="27"/>
  <c r="H52" i="119"/>
  <c r="L52" i="119"/>
  <c r="E26" i="119"/>
  <c r="E52" i="119"/>
  <c r="I26" i="119"/>
  <c r="I52" i="119"/>
  <c r="F52" i="119"/>
  <c r="J52" i="119"/>
  <c r="H45" i="75"/>
  <c r="H46" i="75" s="1"/>
  <c r="H49" i="75" s="1"/>
  <c r="H50" i="75" s="1"/>
  <c r="G26" i="119"/>
  <c r="G52" i="119"/>
  <c r="K26" i="119"/>
  <c r="K52" i="119"/>
  <c r="E49" i="8"/>
  <c r="F26" i="119"/>
  <c r="J26" i="119"/>
  <c r="H26" i="119"/>
  <c r="I28" i="75"/>
  <c r="I30" i="75" s="1"/>
  <c r="J27" i="75"/>
  <c r="H20" i="24" l="1"/>
  <c r="J33" i="119"/>
  <c r="H13" i="24"/>
  <c r="I10" i="24" s="1"/>
  <c r="I15" i="24" s="1"/>
  <c r="F32" i="119"/>
  <c r="F37" i="119" s="1"/>
  <c r="E58" i="75"/>
  <c r="E57" i="75"/>
  <c r="E16" i="75" s="1"/>
  <c r="E21" i="75" s="1"/>
  <c r="L4" i="119"/>
  <c r="M3" i="119"/>
  <c r="M25" i="119"/>
  <c r="M51" i="119"/>
  <c r="M35" i="119"/>
  <c r="M36" i="119"/>
  <c r="H15" i="24"/>
  <c r="F55" i="75"/>
  <c r="F56" i="75" s="1"/>
  <c r="F25" i="27"/>
  <c r="F26" i="27" s="1"/>
  <c r="F27" i="27" s="1"/>
  <c r="H157" i="24"/>
  <c r="H158" i="24" s="1"/>
  <c r="K14" i="75"/>
  <c r="M26" i="24"/>
  <c r="AW37" i="24"/>
  <c r="AU37" i="24"/>
  <c r="AS37" i="24"/>
  <c r="AQ37" i="24"/>
  <c r="AO37" i="24"/>
  <c r="AM37" i="24"/>
  <c r="AK37" i="24"/>
  <c r="AI37" i="24"/>
  <c r="AG37" i="24"/>
  <c r="AE37" i="24"/>
  <c r="J38" i="24"/>
  <c r="AV37" i="24"/>
  <c r="AT37" i="24"/>
  <c r="AR37" i="24"/>
  <c r="AP37" i="24"/>
  <c r="AN37" i="24"/>
  <c r="AL37" i="24"/>
  <c r="AJ37" i="24"/>
  <c r="AH37" i="24"/>
  <c r="AF37" i="24"/>
  <c r="AD37" i="24"/>
  <c r="AB37" i="24"/>
  <c r="Z37" i="24"/>
  <c r="X37" i="24"/>
  <c r="V37" i="24"/>
  <c r="T37" i="24"/>
  <c r="R37" i="24"/>
  <c r="P37" i="24"/>
  <c r="N37" i="24"/>
  <c r="L37" i="24"/>
  <c r="AC37" i="24"/>
  <c r="Y37" i="24"/>
  <c r="U37" i="24"/>
  <c r="Q37" i="24"/>
  <c r="M37" i="24"/>
  <c r="AA37" i="24"/>
  <c r="W37" i="24"/>
  <c r="S37" i="24"/>
  <c r="O37" i="24"/>
  <c r="K37" i="24"/>
  <c r="D41" i="24"/>
  <c r="K12" i="24"/>
  <c r="I20" i="24"/>
  <c r="K33" i="119"/>
  <c r="I19" i="24"/>
  <c r="I11" i="24" s="1"/>
  <c r="I13" i="24" s="1"/>
  <c r="J10" i="24" s="1"/>
  <c r="K29" i="24"/>
  <c r="J35" i="24"/>
  <c r="K35" i="24" s="1"/>
  <c r="L35" i="24" s="1"/>
  <c r="M35" i="24" s="1"/>
  <c r="N35" i="24" s="1"/>
  <c r="O35" i="24" s="1"/>
  <c r="P35" i="24" s="1"/>
  <c r="Q35" i="24" s="1"/>
  <c r="R35" i="24" s="1"/>
  <c r="S35" i="24" s="1"/>
  <c r="T35" i="24" s="1"/>
  <c r="U35" i="24" s="1"/>
  <c r="V35" i="24" s="1"/>
  <c r="W35" i="24" s="1"/>
  <c r="X35" i="24" s="1"/>
  <c r="Y35" i="24" s="1"/>
  <c r="Z35" i="24" s="1"/>
  <c r="AA35" i="24" s="1"/>
  <c r="AB35" i="24" s="1"/>
  <c r="AC35" i="24" s="1"/>
  <c r="AD35" i="24" s="1"/>
  <c r="AE35" i="24" s="1"/>
  <c r="AF35" i="24" s="1"/>
  <c r="AG35" i="24" s="1"/>
  <c r="AH35" i="24" s="1"/>
  <c r="AI35" i="24" s="1"/>
  <c r="AJ35" i="24" s="1"/>
  <c r="AK35" i="24" s="1"/>
  <c r="AL35" i="24" s="1"/>
  <c r="AM35" i="24" s="1"/>
  <c r="AN35" i="24" s="1"/>
  <c r="AO35" i="24" s="1"/>
  <c r="AP35" i="24" s="1"/>
  <c r="AQ35" i="24" s="1"/>
  <c r="AR35" i="24" s="1"/>
  <c r="AS35" i="24" s="1"/>
  <c r="AT35" i="24" s="1"/>
  <c r="AU35" i="24" s="1"/>
  <c r="AV35" i="24" s="1"/>
  <c r="E28" i="119"/>
  <c r="E50" i="217"/>
  <c r="F46" i="217" s="1"/>
  <c r="F47" i="217" s="1"/>
  <c r="F48" i="217" s="1"/>
  <c r="G18" i="8" s="1"/>
  <c r="AD45" i="119"/>
  <c r="Z45" i="119"/>
  <c r="V45" i="119"/>
  <c r="R45" i="119"/>
  <c r="N45" i="119"/>
  <c r="J45" i="119"/>
  <c r="F45" i="119"/>
  <c r="AE45" i="119"/>
  <c r="AA45" i="119"/>
  <c r="W45" i="119"/>
  <c r="S45" i="119"/>
  <c r="O45" i="119"/>
  <c r="K45" i="119"/>
  <c r="G45" i="119"/>
  <c r="L45" i="119"/>
  <c r="H45" i="119"/>
  <c r="AH45" i="119"/>
  <c r="E31" i="217"/>
  <c r="F27" i="217" s="1"/>
  <c r="F50" i="8"/>
  <c r="F29" i="8"/>
  <c r="F44" i="8" s="1"/>
  <c r="AF45" i="119"/>
  <c r="AB45" i="119"/>
  <c r="X45" i="119"/>
  <c r="T45" i="119"/>
  <c r="P45" i="119"/>
  <c r="F38" i="217"/>
  <c r="F39" i="217" s="1"/>
  <c r="F41" i="217" s="1"/>
  <c r="G37" i="217" s="1"/>
  <c r="AG45" i="119"/>
  <c r="AC45" i="119"/>
  <c r="Y45" i="119"/>
  <c r="U45" i="119"/>
  <c r="Q45" i="119"/>
  <c r="M45" i="119"/>
  <c r="I45" i="119"/>
  <c r="E45" i="119"/>
  <c r="E54" i="119" s="1"/>
  <c r="I45" i="75"/>
  <c r="I46" i="75" s="1"/>
  <c r="I49" i="75" s="1"/>
  <c r="I50" i="75" s="1"/>
  <c r="K27" i="75"/>
  <c r="J28" i="75"/>
  <c r="J30" i="75" s="1"/>
  <c r="I157" i="24" l="1"/>
  <c r="I158" i="24" s="1"/>
  <c r="G55" i="75"/>
  <c r="G56" i="75" s="1"/>
  <c r="G57" i="75" s="1"/>
  <c r="G16" i="75" s="1"/>
  <c r="G25" i="27"/>
  <c r="G26" i="27" s="1"/>
  <c r="G27" i="27" s="1"/>
  <c r="H34" i="8" s="1"/>
  <c r="H38" i="8" s="1"/>
  <c r="G32" i="119"/>
  <c r="G37" i="119" s="1"/>
  <c r="F57" i="75"/>
  <c r="F16" i="75" s="1"/>
  <c r="F58" i="75"/>
  <c r="M26" i="119"/>
  <c r="M4" i="119"/>
  <c r="M52" i="119"/>
  <c r="N3" i="119"/>
  <c r="N25" i="119"/>
  <c r="N51" i="119"/>
  <c r="N35" i="119"/>
  <c r="N36" i="119"/>
  <c r="E56" i="119"/>
  <c r="L14" i="75"/>
  <c r="F35" i="75"/>
  <c r="F40" i="75" s="1"/>
  <c r="F41" i="75" s="1"/>
  <c r="F52" i="75" s="1"/>
  <c r="G34" i="8"/>
  <c r="G38" i="8" s="1"/>
  <c r="E22" i="75"/>
  <c r="F17" i="119"/>
  <c r="K38" i="24"/>
  <c r="L38" i="24" s="1"/>
  <c r="M38" i="24" s="1"/>
  <c r="N38" i="24" s="1"/>
  <c r="O38" i="24" s="1"/>
  <c r="P38" i="24" s="1"/>
  <c r="Q38" i="24" s="1"/>
  <c r="R38" i="24" s="1"/>
  <c r="S38" i="24" s="1"/>
  <c r="T38" i="24" s="1"/>
  <c r="U38" i="24" s="1"/>
  <c r="V38" i="24" s="1"/>
  <c r="W38" i="24" s="1"/>
  <c r="X38" i="24" s="1"/>
  <c r="Y38" i="24" s="1"/>
  <c r="Z38" i="24" s="1"/>
  <c r="AA38" i="24" s="1"/>
  <c r="AB38" i="24" s="1"/>
  <c r="AC38" i="24" s="1"/>
  <c r="AD38" i="24" s="1"/>
  <c r="AE38" i="24" s="1"/>
  <c r="AF38" i="24" s="1"/>
  <c r="AG38" i="24" s="1"/>
  <c r="AH38" i="24" s="1"/>
  <c r="AI38" i="24" s="1"/>
  <c r="AJ38" i="24" s="1"/>
  <c r="AK38" i="24" s="1"/>
  <c r="AL38" i="24" s="1"/>
  <c r="AM38" i="24" s="1"/>
  <c r="AN38" i="24" s="1"/>
  <c r="AO38" i="24" s="1"/>
  <c r="AP38" i="24" s="1"/>
  <c r="AQ38" i="24" s="1"/>
  <c r="AR38" i="24" s="1"/>
  <c r="AS38" i="24" s="1"/>
  <c r="AT38" i="24" s="1"/>
  <c r="AU38" i="24" s="1"/>
  <c r="AV38" i="24" s="1"/>
  <c r="AW38" i="24" s="1"/>
  <c r="J157" i="24"/>
  <c r="J158" i="24" s="1"/>
  <c r="J15" i="24"/>
  <c r="H25" i="27"/>
  <c r="H26" i="27" s="1"/>
  <c r="H27" i="27" s="1"/>
  <c r="H55" i="75"/>
  <c r="H56" i="75" s="1"/>
  <c r="J20" i="24"/>
  <c r="L33" i="119"/>
  <c r="D44" i="24"/>
  <c r="L12" i="24"/>
  <c r="G35" i="75"/>
  <c r="G40" i="75" s="1"/>
  <c r="G41" i="75" s="1"/>
  <c r="G52" i="75" s="1"/>
  <c r="J19" i="24"/>
  <c r="J11" i="24" s="1"/>
  <c r="J13" i="24" s="1"/>
  <c r="K10" i="24" s="1"/>
  <c r="L29" i="24"/>
  <c r="K41" i="24"/>
  <c r="AV40" i="24"/>
  <c r="AT40" i="24"/>
  <c r="AR40" i="24"/>
  <c r="AP40" i="24"/>
  <c r="AN40" i="24"/>
  <c r="AL40" i="24"/>
  <c r="AJ40" i="24"/>
  <c r="AH40" i="24"/>
  <c r="AF40" i="24"/>
  <c r="AD40" i="24"/>
  <c r="AB40" i="24"/>
  <c r="Z40" i="24"/>
  <c r="X40" i="24"/>
  <c r="V40" i="24"/>
  <c r="T40" i="24"/>
  <c r="R40" i="24"/>
  <c r="P40" i="24"/>
  <c r="N40" i="24"/>
  <c r="L40" i="24"/>
  <c r="AW40" i="24"/>
  <c r="AU40" i="24"/>
  <c r="AS40" i="24"/>
  <c r="AQ40" i="24"/>
  <c r="AO40" i="24"/>
  <c r="AM40" i="24"/>
  <c r="AK40" i="24"/>
  <c r="AI40" i="24"/>
  <c r="AG40" i="24"/>
  <c r="AE40" i="24"/>
  <c r="AC40" i="24"/>
  <c r="AA40" i="24"/>
  <c r="Y40" i="24"/>
  <c r="W40" i="24"/>
  <c r="U40" i="24"/>
  <c r="S40" i="24"/>
  <c r="Q40" i="24"/>
  <c r="O40" i="24"/>
  <c r="M40" i="24"/>
  <c r="N26" i="24"/>
  <c r="G38" i="217"/>
  <c r="G39" i="217" s="1"/>
  <c r="G41" i="217" s="1"/>
  <c r="H37" i="217" s="1"/>
  <c r="F50" i="217"/>
  <c r="G46" i="217" s="1"/>
  <c r="F49" i="8"/>
  <c r="F28" i="217"/>
  <c r="F29" i="217" s="1"/>
  <c r="G50" i="8"/>
  <c r="G29" i="8"/>
  <c r="F54" i="119"/>
  <c r="K28" i="75"/>
  <c r="K30" i="75" s="1"/>
  <c r="L27" i="75"/>
  <c r="E55" i="8"/>
  <c r="E58" i="8" s="1"/>
  <c r="J45" i="75"/>
  <c r="J46" i="75" s="1"/>
  <c r="J49" i="75" s="1"/>
  <c r="J50" i="75" s="1"/>
  <c r="G44" i="8" l="1"/>
  <c r="G58" i="75"/>
  <c r="H32" i="119"/>
  <c r="H37" i="119" s="1"/>
  <c r="K20" i="24"/>
  <c r="I32" i="119"/>
  <c r="I37" i="119" s="1"/>
  <c r="H58" i="75"/>
  <c r="H57" i="75"/>
  <c r="H16" i="75" s="1"/>
  <c r="K37" i="119"/>
  <c r="K54" i="119" s="1"/>
  <c r="N26" i="119"/>
  <c r="N52" i="119"/>
  <c r="O3" i="119"/>
  <c r="O25" i="119"/>
  <c r="O51" i="119"/>
  <c r="O35" i="119"/>
  <c r="O36" i="119"/>
  <c r="N4" i="119"/>
  <c r="M14" i="75"/>
  <c r="F21" i="75"/>
  <c r="F19" i="119"/>
  <c r="K157" i="24"/>
  <c r="K158" i="24" s="1"/>
  <c r="K15" i="24"/>
  <c r="I55" i="75"/>
  <c r="I56" i="75" s="1"/>
  <c r="I25" i="27"/>
  <c r="I26" i="27" s="1"/>
  <c r="I27" i="27" s="1"/>
  <c r="O26" i="24"/>
  <c r="AW43" i="24"/>
  <c r="AU43" i="24"/>
  <c r="AS43" i="24"/>
  <c r="AQ43" i="24"/>
  <c r="AO43" i="24"/>
  <c r="AM43" i="24"/>
  <c r="AK43" i="24"/>
  <c r="AI43" i="24"/>
  <c r="AG43" i="24"/>
  <c r="AE43" i="24"/>
  <c r="AC43" i="24"/>
  <c r="AA43" i="24"/>
  <c r="Y43" i="24"/>
  <c r="W43" i="24"/>
  <c r="U43" i="24"/>
  <c r="S43" i="24"/>
  <c r="Q43" i="24"/>
  <c r="O43" i="24"/>
  <c r="M43" i="24"/>
  <c r="L44" i="24"/>
  <c r="AV43" i="24"/>
  <c r="AT43" i="24"/>
  <c r="AR43" i="24"/>
  <c r="AP43" i="24"/>
  <c r="AN43" i="24"/>
  <c r="AL43" i="24"/>
  <c r="AJ43" i="24"/>
  <c r="AH43" i="24"/>
  <c r="AF43" i="24"/>
  <c r="AD43" i="24"/>
  <c r="AB43" i="24"/>
  <c r="Z43" i="24"/>
  <c r="X43" i="24"/>
  <c r="V43" i="24"/>
  <c r="T43" i="24"/>
  <c r="R43" i="24"/>
  <c r="P43" i="24"/>
  <c r="N43" i="24"/>
  <c r="D47" i="24"/>
  <c r="M12" i="24"/>
  <c r="H35" i="75"/>
  <c r="H40" i="75" s="1"/>
  <c r="H41" i="75" s="1"/>
  <c r="H52" i="75" s="1"/>
  <c r="I34" i="8"/>
  <c r="I38" i="8" s="1"/>
  <c r="L41" i="24"/>
  <c r="M41" i="24" s="1"/>
  <c r="N41" i="24" s="1"/>
  <c r="O41" i="24" s="1"/>
  <c r="P41" i="24" s="1"/>
  <c r="Q41" i="24" s="1"/>
  <c r="R41" i="24" s="1"/>
  <c r="S41" i="24" s="1"/>
  <c r="T41" i="24" s="1"/>
  <c r="U41" i="24" s="1"/>
  <c r="V41" i="24" s="1"/>
  <c r="W41" i="24" s="1"/>
  <c r="X41" i="24" s="1"/>
  <c r="Y41" i="24" s="1"/>
  <c r="Z41" i="24" s="1"/>
  <c r="AA41" i="24" s="1"/>
  <c r="AB41" i="24" s="1"/>
  <c r="AC41" i="24" s="1"/>
  <c r="AD41" i="24" s="1"/>
  <c r="AE41" i="24" s="1"/>
  <c r="AF41" i="24" s="1"/>
  <c r="AG41" i="24" s="1"/>
  <c r="AH41" i="24" s="1"/>
  <c r="AI41" i="24" s="1"/>
  <c r="AJ41" i="24" s="1"/>
  <c r="AK41" i="24" s="1"/>
  <c r="AL41" i="24" s="1"/>
  <c r="AM41" i="24" s="1"/>
  <c r="AN41" i="24" s="1"/>
  <c r="AO41" i="24" s="1"/>
  <c r="AP41" i="24" s="1"/>
  <c r="AQ41" i="24" s="1"/>
  <c r="AR41" i="24" s="1"/>
  <c r="AS41" i="24" s="1"/>
  <c r="AT41" i="24" s="1"/>
  <c r="AU41" i="24" s="1"/>
  <c r="K19" i="24"/>
  <c r="K11" i="24" s="1"/>
  <c r="K13" i="24" s="1"/>
  <c r="L10" i="24" s="1"/>
  <c r="M29" i="24"/>
  <c r="G21" i="75"/>
  <c r="M33" i="119"/>
  <c r="F31" i="217"/>
  <c r="G27" i="217" s="1"/>
  <c r="G28" i="217" s="1"/>
  <c r="G29" i="217" s="1"/>
  <c r="H38" i="217"/>
  <c r="H39" i="217" s="1"/>
  <c r="H41" i="217" s="1"/>
  <c r="I37" i="217" s="1"/>
  <c r="I38" i="217" s="1"/>
  <c r="I39" i="217" s="1"/>
  <c r="I41" i="217" s="1"/>
  <c r="J37" i="217" s="1"/>
  <c r="G47" i="217"/>
  <c r="G48" i="217" s="1"/>
  <c r="H18" i="8" s="1"/>
  <c r="M27" i="75"/>
  <c r="L28" i="75"/>
  <c r="L30" i="75" s="1"/>
  <c r="K45" i="75"/>
  <c r="K46" i="75" s="1"/>
  <c r="K49" i="75" s="1"/>
  <c r="K50" i="75" s="1"/>
  <c r="G49" i="8" l="1"/>
  <c r="L20" i="24"/>
  <c r="L19" i="24"/>
  <c r="L11" i="24" s="1"/>
  <c r="L13" i="24" s="1"/>
  <c r="M10" i="24" s="1"/>
  <c r="I58" i="75"/>
  <c r="I57" i="75"/>
  <c r="I16" i="75" s="1"/>
  <c r="O26" i="119"/>
  <c r="O4" i="119"/>
  <c r="O52" i="119"/>
  <c r="P3" i="119"/>
  <c r="P25" i="119"/>
  <c r="P51" i="119"/>
  <c r="P36" i="119"/>
  <c r="P35" i="119"/>
  <c r="L37" i="119"/>
  <c r="L54" i="119" s="1"/>
  <c r="F22" i="75"/>
  <c r="G17" i="119"/>
  <c r="N14" i="75"/>
  <c r="G54" i="119"/>
  <c r="F28" i="119"/>
  <c r="M44" i="24"/>
  <c r="N44" i="24" s="1"/>
  <c r="O44" i="24" s="1"/>
  <c r="P44" i="24" s="1"/>
  <c r="Q44" i="24" s="1"/>
  <c r="R44" i="24" s="1"/>
  <c r="S44" i="24" s="1"/>
  <c r="T44" i="24" s="1"/>
  <c r="U44" i="24" s="1"/>
  <c r="V44" i="24" s="1"/>
  <c r="W44" i="24" s="1"/>
  <c r="X44" i="24" s="1"/>
  <c r="Y44" i="24" s="1"/>
  <c r="Z44" i="24" s="1"/>
  <c r="AA44" i="24" s="1"/>
  <c r="AB44" i="24" s="1"/>
  <c r="AC44" i="24" s="1"/>
  <c r="AD44" i="24" s="1"/>
  <c r="AE44" i="24" s="1"/>
  <c r="AF44" i="24" s="1"/>
  <c r="AG44" i="24" s="1"/>
  <c r="AH44" i="24" s="1"/>
  <c r="AI44" i="24" s="1"/>
  <c r="AJ44" i="24" s="1"/>
  <c r="AK44" i="24" s="1"/>
  <c r="AL44" i="24" s="1"/>
  <c r="AM44" i="24" s="1"/>
  <c r="AN44" i="24" s="1"/>
  <c r="AO44" i="24" s="1"/>
  <c r="AP44" i="24" s="1"/>
  <c r="AQ44" i="24" s="1"/>
  <c r="AR44" i="24" s="1"/>
  <c r="AS44" i="24" s="1"/>
  <c r="AT44" i="24" s="1"/>
  <c r="AU44" i="24" s="1"/>
  <c r="AV44" i="24" s="1"/>
  <c r="AW44" i="24" s="1"/>
  <c r="L157" i="24"/>
  <c r="L158" i="24" s="1"/>
  <c r="L15" i="24"/>
  <c r="J25" i="27"/>
  <c r="J26" i="27" s="1"/>
  <c r="J27" i="27" s="1"/>
  <c r="J55" i="75"/>
  <c r="J56" i="75" s="1"/>
  <c r="E58" i="119"/>
  <c r="E61" i="119" s="1"/>
  <c r="N33" i="119"/>
  <c r="D50" i="24"/>
  <c r="N12" i="24"/>
  <c r="H17" i="119"/>
  <c r="G22" i="75"/>
  <c r="H54" i="119"/>
  <c r="M47" i="24"/>
  <c r="AV46" i="24"/>
  <c r="AT46" i="24"/>
  <c r="AR46" i="24"/>
  <c r="AP46" i="24"/>
  <c r="AN46" i="24"/>
  <c r="AL46" i="24"/>
  <c r="AJ46" i="24"/>
  <c r="AH46" i="24"/>
  <c r="AF46" i="24"/>
  <c r="AD46" i="24"/>
  <c r="AB46" i="24"/>
  <c r="Z46" i="24"/>
  <c r="X46" i="24"/>
  <c r="V46" i="24"/>
  <c r="T46" i="24"/>
  <c r="R46" i="24"/>
  <c r="P46" i="24"/>
  <c r="N46" i="24"/>
  <c r="AW46" i="24"/>
  <c r="AU46" i="24"/>
  <c r="AS46" i="24"/>
  <c r="AQ46" i="24"/>
  <c r="AO46" i="24"/>
  <c r="AM46" i="24"/>
  <c r="AK46" i="24"/>
  <c r="AI46" i="24"/>
  <c r="AG46" i="24"/>
  <c r="AE46" i="24"/>
  <c r="AC46" i="24"/>
  <c r="AA46" i="24"/>
  <c r="Y46" i="24"/>
  <c r="W46" i="24"/>
  <c r="U46" i="24"/>
  <c r="S46" i="24"/>
  <c r="Q46" i="24"/>
  <c r="O46" i="24"/>
  <c r="P26" i="24"/>
  <c r="I35" i="75"/>
  <c r="I40" i="75" s="1"/>
  <c r="I41" i="75" s="1"/>
  <c r="I52" i="75" s="1"/>
  <c r="N29" i="24"/>
  <c r="AV41" i="24"/>
  <c r="H21" i="75"/>
  <c r="G50" i="217"/>
  <c r="H46" i="217" s="1"/>
  <c r="H47" i="217" s="1"/>
  <c r="H48" i="217" s="1"/>
  <c r="I18" i="8" s="1"/>
  <c r="J38" i="217"/>
  <c r="J39" i="217" s="1"/>
  <c r="J41" i="217" s="1"/>
  <c r="K37" i="217" s="1"/>
  <c r="F55" i="8"/>
  <c r="F58" i="8" s="1"/>
  <c r="G31" i="217"/>
  <c r="H27" i="217" s="1"/>
  <c r="H50" i="8"/>
  <c r="H29" i="8"/>
  <c r="H44" i="8" s="1"/>
  <c r="M28" i="75"/>
  <c r="M30" i="75" s="1"/>
  <c r="N27" i="75"/>
  <c r="L45" i="75"/>
  <c r="L46" i="75" s="1"/>
  <c r="L49" i="75" s="1"/>
  <c r="L50" i="75" s="1"/>
  <c r="M19" i="24" l="1"/>
  <c r="M11" i="24" s="1"/>
  <c r="M13" i="24" s="1"/>
  <c r="N10" i="24" s="1"/>
  <c r="J57" i="75"/>
  <c r="J16" i="75" s="1"/>
  <c r="J58" i="75"/>
  <c r="M37" i="119"/>
  <c r="M54" i="119" s="1"/>
  <c r="P52" i="119"/>
  <c r="Q3" i="119"/>
  <c r="Q25" i="119"/>
  <c r="Q51" i="119"/>
  <c r="Q35" i="119"/>
  <c r="Q36" i="119"/>
  <c r="P4" i="119"/>
  <c r="P26" i="119"/>
  <c r="J37" i="119"/>
  <c r="O14" i="75"/>
  <c r="G19" i="119"/>
  <c r="M20" i="24"/>
  <c r="F56" i="119"/>
  <c r="I17" i="119"/>
  <c r="H22" i="75"/>
  <c r="AW41" i="24"/>
  <c r="O29" i="24"/>
  <c r="I54" i="119"/>
  <c r="O33" i="119"/>
  <c r="M157" i="24"/>
  <c r="M158" i="24" s="1"/>
  <c r="M15" i="24"/>
  <c r="K55" i="75"/>
  <c r="K56" i="75" s="1"/>
  <c r="K25" i="27"/>
  <c r="K26" i="27" s="1"/>
  <c r="K27" i="27" s="1"/>
  <c r="I21" i="75"/>
  <c r="Q26" i="24"/>
  <c r="N47" i="24"/>
  <c r="O47" i="24" s="1"/>
  <c r="P47" i="24" s="1"/>
  <c r="Q47" i="24" s="1"/>
  <c r="R47" i="24" s="1"/>
  <c r="S47" i="24" s="1"/>
  <c r="T47" i="24" s="1"/>
  <c r="U47" i="24" s="1"/>
  <c r="V47" i="24" s="1"/>
  <c r="W47" i="24" s="1"/>
  <c r="X47" i="24" s="1"/>
  <c r="Y47" i="24" s="1"/>
  <c r="Z47" i="24" s="1"/>
  <c r="AA47" i="24" s="1"/>
  <c r="AB47" i="24" s="1"/>
  <c r="AC47" i="24" s="1"/>
  <c r="AD47" i="24" s="1"/>
  <c r="AE47" i="24" s="1"/>
  <c r="AF47" i="24" s="1"/>
  <c r="AG47" i="24" s="1"/>
  <c r="AH47" i="24" s="1"/>
  <c r="AI47" i="24" s="1"/>
  <c r="AJ47" i="24" s="1"/>
  <c r="AK47" i="24" s="1"/>
  <c r="AL47" i="24" s="1"/>
  <c r="AM47" i="24" s="1"/>
  <c r="AN47" i="24" s="1"/>
  <c r="AO47" i="24" s="1"/>
  <c r="AP47" i="24" s="1"/>
  <c r="AQ47" i="24" s="1"/>
  <c r="AR47" i="24" s="1"/>
  <c r="AS47" i="24" s="1"/>
  <c r="AT47" i="24" s="1"/>
  <c r="AU47" i="24" s="1"/>
  <c r="AV47" i="24" s="1"/>
  <c r="AW47" i="24" s="1"/>
  <c r="H19" i="119"/>
  <c r="AW49" i="24"/>
  <c r="AU49" i="24"/>
  <c r="AS49" i="24"/>
  <c r="AQ49" i="24"/>
  <c r="AO49" i="24"/>
  <c r="AM49" i="24"/>
  <c r="AK49" i="24"/>
  <c r="AI49" i="24"/>
  <c r="AG49" i="24"/>
  <c r="AE49" i="24"/>
  <c r="AC49" i="24"/>
  <c r="AA49" i="24"/>
  <c r="Y49" i="24"/>
  <c r="W49" i="24"/>
  <c r="U49" i="24"/>
  <c r="S49" i="24"/>
  <c r="Q49" i="24"/>
  <c r="O49" i="24"/>
  <c r="N50" i="24"/>
  <c r="AV49" i="24"/>
  <c r="AT49" i="24"/>
  <c r="AR49" i="24"/>
  <c r="AP49" i="24"/>
  <c r="AN49" i="24"/>
  <c r="AL49" i="24"/>
  <c r="AJ49" i="24"/>
  <c r="AH49" i="24"/>
  <c r="AF49" i="24"/>
  <c r="AD49" i="24"/>
  <c r="AB49" i="24"/>
  <c r="Z49" i="24"/>
  <c r="X49" i="24"/>
  <c r="V49" i="24"/>
  <c r="T49" i="24"/>
  <c r="R49" i="24"/>
  <c r="P49" i="24"/>
  <c r="D53" i="24"/>
  <c r="O12" i="24"/>
  <c r="J35" i="75"/>
  <c r="J40" i="75" s="1"/>
  <c r="J41" i="75" s="1"/>
  <c r="J52" i="75" s="1"/>
  <c r="H50" i="217"/>
  <c r="I46" i="217" s="1"/>
  <c r="I47" i="217" s="1"/>
  <c r="I48" i="217" s="1"/>
  <c r="H49" i="8"/>
  <c r="H28" i="217"/>
  <c r="H29" i="217" s="1"/>
  <c r="G55" i="8"/>
  <c r="G58" i="8" s="1"/>
  <c r="I50" i="8"/>
  <c r="I29" i="8"/>
  <c r="I44" i="8" s="1"/>
  <c r="K38" i="217"/>
  <c r="K39" i="217" s="1"/>
  <c r="K41" i="217" s="1"/>
  <c r="L37" i="217" s="1"/>
  <c r="O27" i="75"/>
  <c r="N28" i="75"/>
  <c r="N30" i="75" s="1"/>
  <c r="M45" i="75"/>
  <c r="M46" i="75" s="1"/>
  <c r="M49" i="75" s="1"/>
  <c r="M50" i="75" s="1"/>
  <c r="N15" i="24" l="1"/>
  <c r="N157" i="24"/>
  <c r="N158" i="24" s="1"/>
  <c r="N37" i="119"/>
  <c r="K57" i="75"/>
  <c r="K58" i="75"/>
  <c r="Q4" i="119"/>
  <c r="Q52" i="119"/>
  <c r="R3" i="119"/>
  <c r="R51" i="119"/>
  <c r="R25" i="119"/>
  <c r="R35" i="119"/>
  <c r="R36" i="119"/>
  <c r="Q26" i="119"/>
  <c r="L25" i="27"/>
  <c r="L26" i="27" s="1"/>
  <c r="L27" i="27" s="1"/>
  <c r="G28" i="119"/>
  <c r="P14" i="75"/>
  <c r="L55" i="75"/>
  <c r="L56" i="75" s="1"/>
  <c r="F58" i="119"/>
  <c r="O50" i="24"/>
  <c r="P50" i="24" s="1"/>
  <c r="Q50" i="24" s="1"/>
  <c r="R50" i="24" s="1"/>
  <c r="S50" i="24" s="1"/>
  <c r="T50" i="24" s="1"/>
  <c r="U50" i="24" s="1"/>
  <c r="V50" i="24" s="1"/>
  <c r="W50" i="24" s="1"/>
  <c r="X50" i="24" s="1"/>
  <c r="Y50" i="24" s="1"/>
  <c r="Z50" i="24" s="1"/>
  <c r="AA50" i="24" s="1"/>
  <c r="AB50" i="24" s="1"/>
  <c r="AC50" i="24" s="1"/>
  <c r="AD50" i="24" s="1"/>
  <c r="AE50" i="24" s="1"/>
  <c r="AF50" i="24" s="1"/>
  <c r="AG50" i="24" s="1"/>
  <c r="AH50" i="24" s="1"/>
  <c r="AI50" i="24" s="1"/>
  <c r="AJ50" i="24" s="1"/>
  <c r="AK50" i="24" s="1"/>
  <c r="AL50" i="24" s="1"/>
  <c r="AM50" i="24" s="1"/>
  <c r="AN50" i="24" s="1"/>
  <c r="AO50" i="24" s="1"/>
  <c r="AP50" i="24" s="1"/>
  <c r="AQ50" i="24" s="1"/>
  <c r="AR50" i="24" s="1"/>
  <c r="AS50" i="24" s="1"/>
  <c r="AT50" i="24" s="1"/>
  <c r="AU50" i="24" s="1"/>
  <c r="AV50" i="24" s="1"/>
  <c r="AW50" i="24" s="1"/>
  <c r="O53" i="24"/>
  <c r="AV52" i="24"/>
  <c r="AT52" i="24"/>
  <c r="AR52" i="24"/>
  <c r="AP52" i="24"/>
  <c r="AN52" i="24"/>
  <c r="AL52" i="24"/>
  <c r="AJ52" i="24"/>
  <c r="AH52" i="24"/>
  <c r="AF52" i="24"/>
  <c r="AD52" i="24"/>
  <c r="AB52" i="24"/>
  <c r="Z52" i="24"/>
  <c r="X52" i="24"/>
  <c r="V52" i="24"/>
  <c r="T52" i="24"/>
  <c r="R52" i="24"/>
  <c r="P52" i="24"/>
  <c r="AW52" i="24"/>
  <c r="AU52" i="24"/>
  <c r="AS52" i="24"/>
  <c r="AQ52" i="24"/>
  <c r="AO52" i="24"/>
  <c r="AM52" i="24"/>
  <c r="AK52" i="24"/>
  <c r="AI52" i="24"/>
  <c r="AG52" i="24"/>
  <c r="AE52" i="24"/>
  <c r="AC52" i="24"/>
  <c r="AA52" i="24"/>
  <c r="Y52" i="24"/>
  <c r="W52" i="24"/>
  <c r="U52" i="24"/>
  <c r="S52" i="24"/>
  <c r="Q52" i="24"/>
  <c r="H28" i="119"/>
  <c r="R26" i="24"/>
  <c r="N20" i="24"/>
  <c r="P29" i="24"/>
  <c r="J54" i="119"/>
  <c r="I19" i="119"/>
  <c r="J21" i="75"/>
  <c r="J17" i="119"/>
  <c r="I22" i="75"/>
  <c r="K16" i="75"/>
  <c r="K35" i="75"/>
  <c r="K40" i="75" s="1"/>
  <c r="K41" i="75" s="1"/>
  <c r="K52" i="75" s="1"/>
  <c r="P33" i="119"/>
  <c r="D56" i="24"/>
  <c r="P12" i="24"/>
  <c r="N19" i="24"/>
  <c r="N11" i="24" s="1"/>
  <c r="N13" i="24" s="1"/>
  <c r="O10" i="24" s="1"/>
  <c r="H31" i="217"/>
  <c r="I27" i="217" s="1"/>
  <c r="I28" i="217" s="1"/>
  <c r="I29" i="217" s="1"/>
  <c r="I50" i="217"/>
  <c r="J46" i="217" s="1"/>
  <c r="J47" i="217" s="1"/>
  <c r="J48" i="217" s="1"/>
  <c r="L38" i="217"/>
  <c r="L39" i="217" s="1"/>
  <c r="L41" i="217" s="1"/>
  <c r="M37" i="217" s="1"/>
  <c r="I49" i="8"/>
  <c r="O28" i="75"/>
  <c r="O30" i="75" s="1"/>
  <c r="P27" i="75"/>
  <c r="N45" i="75"/>
  <c r="N46" i="75" s="1"/>
  <c r="N49" i="75" s="1"/>
  <c r="N50" i="75" s="1"/>
  <c r="O37" i="119" l="1"/>
  <c r="O54" i="119" s="1"/>
  <c r="L35" i="75"/>
  <c r="L40" i="75" s="1"/>
  <c r="L41" i="75" s="1"/>
  <c r="L52" i="75" s="1"/>
  <c r="L58" i="75"/>
  <c r="L57" i="75"/>
  <c r="L16" i="75" s="1"/>
  <c r="L21" i="75" s="1"/>
  <c r="R26" i="119"/>
  <c r="S3" i="119"/>
  <c r="S25" i="119"/>
  <c r="S51" i="119"/>
  <c r="S35" i="119"/>
  <c r="S36" i="119"/>
  <c r="R4" i="119"/>
  <c r="R52" i="119"/>
  <c r="O20" i="24"/>
  <c r="Q14" i="75"/>
  <c r="G56" i="119"/>
  <c r="P53" i="24"/>
  <c r="N54" i="119"/>
  <c r="O19" i="24"/>
  <c r="O11" i="24" s="1"/>
  <c r="O13" i="24" s="1"/>
  <c r="P10" i="24" s="1"/>
  <c r="H56" i="119"/>
  <c r="H58" i="119" s="1"/>
  <c r="O157" i="24"/>
  <c r="O158" i="24" s="1"/>
  <c r="O15" i="24"/>
  <c r="M55" i="75"/>
  <c r="M56" i="75" s="1"/>
  <c r="M25" i="27"/>
  <c r="M26" i="27" s="1"/>
  <c r="M27" i="27" s="1"/>
  <c r="Q33" i="119"/>
  <c r="J19" i="119"/>
  <c r="I28" i="119"/>
  <c r="AW55" i="24"/>
  <c r="AU55" i="24"/>
  <c r="AS55" i="24"/>
  <c r="AQ55" i="24"/>
  <c r="AO55" i="24"/>
  <c r="AM55" i="24"/>
  <c r="AK55" i="24"/>
  <c r="AI55" i="24"/>
  <c r="AG55" i="24"/>
  <c r="AE55" i="24"/>
  <c r="AC55" i="24"/>
  <c r="AA55" i="24"/>
  <c r="Y55" i="24"/>
  <c r="W55" i="24"/>
  <c r="U55" i="24"/>
  <c r="S55" i="24"/>
  <c r="Q55" i="24"/>
  <c r="P56" i="24"/>
  <c r="P19" i="24" s="1"/>
  <c r="P11" i="24" s="1"/>
  <c r="AV55" i="24"/>
  <c r="AT55" i="24"/>
  <c r="AR55" i="24"/>
  <c r="AP55" i="24"/>
  <c r="AN55" i="24"/>
  <c r="AL55" i="24"/>
  <c r="AJ55" i="24"/>
  <c r="AH55" i="24"/>
  <c r="AF55" i="24"/>
  <c r="AD55" i="24"/>
  <c r="AB55" i="24"/>
  <c r="Z55" i="24"/>
  <c r="X55" i="24"/>
  <c r="V55" i="24"/>
  <c r="T55" i="24"/>
  <c r="R55" i="24"/>
  <c r="D59" i="24"/>
  <c r="Q12" i="24"/>
  <c r="K21" i="75"/>
  <c r="J22" i="75"/>
  <c r="K17" i="119"/>
  <c r="Q29" i="24"/>
  <c r="S26" i="24"/>
  <c r="Q53" i="24"/>
  <c r="R53" i="24" s="1"/>
  <c r="S53" i="24" s="1"/>
  <c r="T53" i="24" s="1"/>
  <c r="U53" i="24" s="1"/>
  <c r="V53" i="24" s="1"/>
  <c r="W53" i="24" s="1"/>
  <c r="X53" i="24" s="1"/>
  <c r="Y53" i="24" s="1"/>
  <c r="Z53" i="24" s="1"/>
  <c r="AA53" i="24" s="1"/>
  <c r="AB53" i="24" s="1"/>
  <c r="AC53" i="24" s="1"/>
  <c r="AD53" i="24" s="1"/>
  <c r="AE53" i="24" s="1"/>
  <c r="AF53" i="24" s="1"/>
  <c r="AG53" i="24" s="1"/>
  <c r="AH53" i="24" s="1"/>
  <c r="AI53" i="24" s="1"/>
  <c r="AJ53" i="24" s="1"/>
  <c r="AK53" i="24" s="1"/>
  <c r="AL53" i="24" s="1"/>
  <c r="AM53" i="24" s="1"/>
  <c r="AN53" i="24" s="1"/>
  <c r="AO53" i="24" s="1"/>
  <c r="AP53" i="24" s="1"/>
  <c r="AQ53" i="24" s="1"/>
  <c r="AR53" i="24" s="1"/>
  <c r="AS53" i="24" s="1"/>
  <c r="AT53" i="24" s="1"/>
  <c r="AU53" i="24" s="1"/>
  <c r="AV53" i="24" s="1"/>
  <c r="AW53" i="24" s="1"/>
  <c r="J50" i="217"/>
  <c r="K46" i="217" s="1"/>
  <c r="K47" i="217" s="1"/>
  <c r="K48" i="217" s="1"/>
  <c r="M38" i="217"/>
  <c r="M39" i="217" s="1"/>
  <c r="M41" i="217" s="1"/>
  <c r="N37" i="217" s="1"/>
  <c r="I31" i="217"/>
  <c r="J27" i="217" s="1"/>
  <c r="H55" i="8"/>
  <c r="H58" i="8" s="1"/>
  <c r="O45" i="75"/>
  <c r="O46" i="75" s="1"/>
  <c r="O49" i="75" s="1"/>
  <c r="O50" i="75" s="1"/>
  <c r="Q27" i="75"/>
  <c r="P28" i="75"/>
  <c r="P30" i="75" s="1"/>
  <c r="M58" i="75" l="1"/>
  <c r="M57" i="75"/>
  <c r="M16" i="75" s="1"/>
  <c r="P37" i="119"/>
  <c r="P54" i="119" s="1"/>
  <c r="S26" i="119"/>
  <c r="S4" i="119"/>
  <c r="S52" i="119"/>
  <c r="T3" i="119"/>
  <c r="T25" i="119"/>
  <c r="T51" i="119"/>
  <c r="T35" i="119"/>
  <c r="T36" i="119"/>
  <c r="P20" i="24"/>
  <c r="R14" i="75"/>
  <c r="G58" i="119"/>
  <c r="I56" i="119"/>
  <c r="Q56" i="24"/>
  <c r="R56" i="24" s="1"/>
  <c r="S56" i="24" s="1"/>
  <c r="T56" i="24" s="1"/>
  <c r="U56" i="24" s="1"/>
  <c r="V56" i="24" s="1"/>
  <c r="W56" i="24" s="1"/>
  <c r="X56" i="24" s="1"/>
  <c r="Y56" i="24" s="1"/>
  <c r="Z56" i="24" s="1"/>
  <c r="AA56" i="24" s="1"/>
  <c r="AB56" i="24" s="1"/>
  <c r="AC56" i="24" s="1"/>
  <c r="AD56" i="24" s="1"/>
  <c r="AE56" i="24" s="1"/>
  <c r="AF56" i="24" s="1"/>
  <c r="AG56" i="24" s="1"/>
  <c r="AH56" i="24" s="1"/>
  <c r="AI56" i="24" s="1"/>
  <c r="AJ56" i="24" s="1"/>
  <c r="AK56" i="24" s="1"/>
  <c r="AL56" i="24" s="1"/>
  <c r="AM56" i="24" s="1"/>
  <c r="AN56" i="24" s="1"/>
  <c r="AO56" i="24" s="1"/>
  <c r="AP56" i="24" s="1"/>
  <c r="AQ56" i="24" s="1"/>
  <c r="AR56" i="24" s="1"/>
  <c r="AS56" i="24" s="1"/>
  <c r="AT56" i="24" s="1"/>
  <c r="AU56" i="24" s="1"/>
  <c r="AV56" i="24" s="1"/>
  <c r="AW56" i="24" s="1"/>
  <c r="P157" i="24"/>
  <c r="P158" i="24" s="1"/>
  <c r="P15" i="24"/>
  <c r="N25" i="27"/>
  <c r="N26" i="27" s="1"/>
  <c r="N27" i="27" s="1"/>
  <c r="N55" i="75"/>
  <c r="N56" i="75" s="1"/>
  <c r="R29" i="24"/>
  <c r="L17" i="119"/>
  <c r="K22" i="75"/>
  <c r="Q59" i="24"/>
  <c r="AV58" i="24"/>
  <c r="AT58" i="24"/>
  <c r="AR58" i="24"/>
  <c r="AP58" i="24"/>
  <c r="AN58" i="24"/>
  <c r="AL58" i="24"/>
  <c r="AJ58" i="24"/>
  <c r="AH58" i="24"/>
  <c r="AF58" i="24"/>
  <c r="AD58" i="24"/>
  <c r="AB58" i="24"/>
  <c r="Z58" i="24"/>
  <c r="X58" i="24"/>
  <c r="V58" i="24"/>
  <c r="T58" i="24"/>
  <c r="R58" i="24"/>
  <c r="AW58" i="24"/>
  <c r="AU58" i="24"/>
  <c r="AS58" i="24"/>
  <c r="AQ58" i="24"/>
  <c r="AO58" i="24"/>
  <c r="AM58" i="24"/>
  <c r="AK58" i="24"/>
  <c r="AI58" i="24"/>
  <c r="AG58" i="24"/>
  <c r="AE58" i="24"/>
  <c r="AC58" i="24"/>
  <c r="AA58" i="24"/>
  <c r="Y58" i="24"/>
  <c r="W58" i="24"/>
  <c r="U58" i="24"/>
  <c r="S58" i="24"/>
  <c r="M17" i="119"/>
  <c r="L22" i="75"/>
  <c r="J28" i="119"/>
  <c r="R33" i="119"/>
  <c r="D62" i="24"/>
  <c r="R12" i="24"/>
  <c r="Q37" i="119" s="1"/>
  <c r="T26" i="24"/>
  <c r="K19" i="119"/>
  <c r="P13" i="24"/>
  <c r="Q10" i="24" s="1"/>
  <c r="M35" i="75"/>
  <c r="M40" i="75" s="1"/>
  <c r="M41" i="75" s="1"/>
  <c r="M52" i="75" s="1"/>
  <c r="N38" i="217"/>
  <c r="N39" i="217" s="1"/>
  <c r="N41" i="217" s="1"/>
  <c r="O37" i="217" s="1"/>
  <c r="I55" i="8"/>
  <c r="I58" i="8" s="1"/>
  <c r="J28" i="217"/>
  <c r="J29" i="217" s="1"/>
  <c r="K50" i="217"/>
  <c r="L46" i="217" s="1"/>
  <c r="Q28" i="75"/>
  <c r="Q30" i="75" s="1"/>
  <c r="R27" i="75"/>
  <c r="P45" i="75"/>
  <c r="P46" i="75" s="1"/>
  <c r="P49" i="75" s="1"/>
  <c r="P50" i="75" s="1"/>
  <c r="N57" i="75" l="1"/>
  <c r="N16" i="75" s="1"/>
  <c r="N58" i="75"/>
  <c r="T26" i="119"/>
  <c r="T52" i="119"/>
  <c r="U3" i="119"/>
  <c r="U25" i="119"/>
  <c r="U51" i="119"/>
  <c r="U35" i="119"/>
  <c r="U36" i="119"/>
  <c r="T4" i="119"/>
  <c r="I58" i="119"/>
  <c r="S14" i="75"/>
  <c r="Q54" i="119"/>
  <c r="Q19" i="24"/>
  <c r="Q11" i="24" s="1"/>
  <c r="Q13" i="24" s="1"/>
  <c r="R10" i="24" s="1"/>
  <c r="J56" i="119"/>
  <c r="M21" i="75"/>
  <c r="Q157" i="24"/>
  <c r="Q158" i="24" s="1"/>
  <c r="Q15" i="24"/>
  <c r="O55" i="75"/>
  <c r="O56" i="75" s="1"/>
  <c r="O25" i="27"/>
  <c r="O26" i="27" s="1"/>
  <c r="O27" i="27" s="1"/>
  <c r="K28" i="119"/>
  <c r="U26" i="24"/>
  <c r="S33" i="119"/>
  <c r="M19" i="119"/>
  <c r="R59" i="24"/>
  <c r="S59" i="24" s="1"/>
  <c r="T59" i="24" s="1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AF59" i="24" s="1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AR59" i="24" s="1"/>
  <c r="AS59" i="24" s="1"/>
  <c r="AT59" i="24" s="1"/>
  <c r="AU59" i="24" s="1"/>
  <c r="AV59" i="24" s="1"/>
  <c r="AW59" i="24" s="1"/>
  <c r="Q20" i="24"/>
  <c r="S29" i="24"/>
  <c r="AW61" i="24"/>
  <c r="AU61" i="24"/>
  <c r="AS61" i="24"/>
  <c r="AQ61" i="24"/>
  <c r="AO61" i="24"/>
  <c r="AM61" i="24"/>
  <c r="AK61" i="24"/>
  <c r="AI61" i="24"/>
  <c r="AG61" i="24"/>
  <c r="AE61" i="24"/>
  <c r="AC61" i="24"/>
  <c r="AA61" i="24"/>
  <c r="Y61" i="24"/>
  <c r="W61" i="24"/>
  <c r="U61" i="24"/>
  <c r="S61" i="24"/>
  <c r="R62" i="24"/>
  <c r="AV61" i="24"/>
  <c r="AT61" i="24"/>
  <c r="AR61" i="24"/>
  <c r="AP61" i="24"/>
  <c r="AN61" i="24"/>
  <c r="AL61" i="24"/>
  <c r="AJ61" i="24"/>
  <c r="AH61" i="24"/>
  <c r="AF61" i="24"/>
  <c r="AD61" i="24"/>
  <c r="AB61" i="24"/>
  <c r="Z61" i="24"/>
  <c r="X61" i="24"/>
  <c r="V61" i="24"/>
  <c r="T61" i="24"/>
  <c r="D65" i="24"/>
  <c r="S12" i="24"/>
  <c r="R37" i="119" s="1"/>
  <c r="L19" i="119"/>
  <c r="N35" i="75"/>
  <c r="N40" i="75" s="1"/>
  <c r="N41" i="75" s="1"/>
  <c r="N52" i="75" s="1"/>
  <c r="J31" i="217"/>
  <c r="K27" i="217" s="1"/>
  <c r="O38" i="217"/>
  <c r="O39" i="217" s="1"/>
  <c r="O41" i="217" s="1"/>
  <c r="P37" i="217" s="1"/>
  <c r="L47" i="217"/>
  <c r="L48" i="217" s="1"/>
  <c r="Q45" i="75"/>
  <c r="Q46" i="75" s="1"/>
  <c r="Q49" i="75" s="1"/>
  <c r="Q50" i="75" s="1"/>
  <c r="S27" i="75"/>
  <c r="R28" i="75"/>
  <c r="R30" i="75" s="1"/>
  <c r="O57" i="75" l="1"/>
  <c r="O16" i="75" s="1"/>
  <c r="O58" i="75"/>
  <c r="U26" i="119"/>
  <c r="U4" i="119"/>
  <c r="U52" i="119"/>
  <c r="V3" i="119"/>
  <c r="V25" i="119"/>
  <c r="V51" i="119"/>
  <c r="V35" i="119"/>
  <c r="V36" i="119"/>
  <c r="T14" i="75"/>
  <c r="J58" i="119"/>
  <c r="R54" i="119"/>
  <c r="K56" i="119"/>
  <c r="K58" i="119" s="1"/>
  <c r="L28" i="119"/>
  <c r="S65" i="24"/>
  <c r="AV64" i="24"/>
  <c r="AT64" i="24"/>
  <c r="AR64" i="24"/>
  <c r="AP64" i="24"/>
  <c r="AN64" i="24"/>
  <c r="AL64" i="24"/>
  <c r="AJ64" i="24"/>
  <c r="AH64" i="24"/>
  <c r="AF64" i="24"/>
  <c r="AD64" i="24"/>
  <c r="AB64" i="24"/>
  <c r="Z64" i="24"/>
  <c r="X64" i="24"/>
  <c r="V64" i="24"/>
  <c r="T64" i="24"/>
  <c r="AW64" i="24"/>
  <c r="AU64" i="24"/>
  <c r="AS64" i="24"/>
  <c r="AQ64" i="24"/>
  <c r="AO64" i="24"/>
  <c r="AM64" i="24"/>
  <c r="AK64" i="24"/>
  <c r="AI64" i="24"/>
  <c r="AG64" i="24"/>
  <c r="AE64" i="24"/>
  <c r="AC64" i="24"/>
  <c r="AA64" i="24"/>
  <c r="Y64" i="24"/>
  <c r="W64" i="24"/>
  <c r="U64" i="24"/>
  <c r="S62" i="24"/>
  <c r="T62" i="24" s="1"/>
  <c r="U62" i="24" s="1"/>
  <c r="V62" i="24" s="1"/>
  <c r="W62" i="24" s="1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AI62" i="24" s="1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AU62" i="24" s="1"/>
  <c r="AV62" i="24" s="1"/>
  <c r="AW62" i="24" s="1"/>
  <c r="R20" i="24"/>
  <c r="T33" i="119"/>
  <c r="D68" i="24"/>
  <c r="T12" i="24"/>
  <c r="S37" i="119" s="1"/>
  <c r="N17" i="119"/>
  <c r="M22" i="75"/>
  <c r="N21" i="75"/>
  <c r="R19" i="24"/>
  <c r="R11" i="24" s="1"/>
  <c r="R13" i="24" s="1"/>
  <c r="S10" i="24" s="1"/>
  <c r="T29" i="24"/>
  <c r="M28" i="119"/>
  <c r="V26" i="24"/>
  <c r="R157" i="24"/>
  <c r="R158" i="24" s="1"/>
  <c r="R15" i="24"/>
  <c r="P25" i="27"/>
  <c r="P26" i="27" s="1"/>
  <c r="P27" i="27" s="1"/>
  <c r="P55" i="75"/>
  <c r="P56" i="75" s="1"/>
  <c r="O35" i="75"/>
  <c r="O40" i="75" s="1"/>
  <c r="O41" i="75" s="1"/>
  <c r="O52" i="75" s="1"/>
  <c r="K28" i="217"/>
  <c r="K29" i="217" s="1"/>
  <c r="L50" i="217"/>
  <c r="M46" i="217" s="1"/>
  <c r="M47" i="217" s="1"/>
  <c r="M48" i="217" s="1"/>
  <c r="P38" i="217"/>
  <c r="P39" i="217" s="1"/>
  <c r="P41" i="217" s="1"/>
  <c r="Q37" i="217" s="1"/>
  <c r="S28" i="75"/>
  <c r="S30" i="75" s="1"/>
  <c r="T27" i="75"/>
  <c r="R45" i="75"/>
  <c r="R46" i="75" s="1"/>
  <c r="R49" i="75" s="1"/>
  <c r="R50" i="75" s="1"/>
  <c r="S19" i="24" l="1"/>
  <c r="S11" i="24" s="1"/>
  <c r="S13" i="24" s="1"/>
  <c r="T10" i="24" s="1"/>
  <c r="S20" i="24"/>
  <c r="P58" i="75"/>
  <c r="P57" i="75"/>
  <c r="K31" i="217"/>
  <c r="L27" i="217" s="1"/>
  <c r="L28" i="217" s="1"/>
  <c r="L29" i="217" s="1"/>
  <c r="V26" i="119"/>
  <c r="V52" i="119"/>
  <c r="W3" i="119"/>
  <c r="W25" i="119"/>
  <c r="W51" i="119"/>
  <c r="W35" i="119"/>
  <c r="W36" i="119"/>
  <c r="V4" i="119"/>
  <c r="U14" i="75"/>
  <c r="S54" i="119"/>
  <c r="T65" i="24"/>
  <c r="U65" i="24" s="1"/>
  <c r="V65" i="24" s="1"/>
  <c r="W65" i="24" s="1"/>
  <c r="X65" i="24" s="1"/>
  <c r="Y65" i="24" s="1"/>
  <c r="Z65" i="24" s="1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AL65" i="24" s="1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L56" i="119"/>
  <c r="M56" i="119"/>
  <c r="O21" i="75"/>
  <c r="P16" i="75"/>
  <c r="P35" i="75"/>
  <c r="P40" i="75" s="1"/>
  <c r="P41" i="75" s="1"/>
  <c r="P52" i="75" s="1"/>
  <c r="U29" i="24"/>
  <c r="N19" i="119"/>
  <c r="U33" i="119"/>
  <c r="W26" i="24"/>
  <c r="S157" i="24"/>
  <c r="S158" i="24" s="1"/>
  <c r="S15" i="24"/>
  <c r="Q55" i="75"/>
  <c r="Q56" i="75" s="1"/>
  <c r="Q25" i="27"/>
  <c r="Q26" i="27" s="1"/>
  <c r="Q27" i="27" s="1"/>
  <c r="N22" i="75"/>
  <c r="O17" i="119"/>
  <c r="AW67" i="24"/>
  <c r="AU67" i="24"/>
  <c r="AS67" i="24"/>
  <c r="AQ67" i="24"/>
  <c r="AO67" i="24"/>
  <c r="AM67" i="24"/>
  <c r="AK67" i="24"/>
  <c r="AI67" i="24"/>
  <c r="AG67" i="24"/>
  <c r="AE67" i="24"/>
  <c r="AC67" i="24"/>
  <c r="AA67" i="24"/>
  <c r="Y67" i="24"/>
  <c r="W67" i="24"/>
  <c r="U67" i="24"/>
  <c r="T68" i="24"/>
  <c r="AV67" i="24"/>
  <c r="AT67" i="24"/>
  <c r="AR67" i="24"/>
  <c r="AP67" i="24"/>
  <c r="AN67" i="24"/>
  <c r="AL67" i="24"/>
  <c r="AJ67" i="24"/>
  <c r="AH67" i="24"/>
  <c r="AF67" i="24"/>
  <c r="AD67" i="24"/>
  <c r="AB67" i="24"/>
  <c r="Z67" i="24"/>
  <c r="X67" i="24"/>
  <c r="V67" i="24"/>
  <c r="D71" i="24"/>
  <c r="U12" i="24"/>
  <c r="M50" i="217"/>
  <c r="N46" i="217" s="1"/>
  <c r="N47" i="217" s="1"/>
  <c r="N48" i="217" s="1"/>
  <c r="Q38" i="217"/>
  <c r="Q39" i="217" s="1"/>
  <c r="Q41" i="217" s="1"/>
  <c r="R37" i="217" s="1"/>
  <c r="S45" i="75"/>
  <c r="S46" i="75" s="1"/>
  <c r="S49" i="75" s="1"/>
  <c r="S50" i="75" s="1"/>
  <c r="U27" i="75"/>
  <c r="T28" i="75"/>
  <c r="T30" i="75" s="1"/>
  <c r="T157" i="24" l="1"/>
  <c r="T158" i="24" s="1"/>
  <c r="Q58" i="75"/>
  <c r="Q57" i="75"/>
  <c r="Q16" i="75" s="1"/>
  <c r="T37" i="119"/>
  <c r="T54" i="119" s="1"/>
  <c r="L31" i="217"/>
  <c r="M27" i="217" s="1"/>
  <c r="M28" i="217" s="1"/>
  <c r="M29" i="217" s="1"/>
  <c r="W26" i="119"/>
  <c r="W4" i="119"/>
  <c r="W52" i="119"/>
  <c r="X3" i="119"/>
  <c r="X25" i="119"/>
  <c r="X51" i="119"/>
  <c r="X35" i="119"/>
  <c r="X36" i="119"/>
  <c r="R25" i="27"/>
  <c r="R26" i="27" s="1"/>
  <c r="R27" i="27" s="1"/>
  <c r="T15" i="24"/>
  <c r="L58" i="119"/>
  <c r="V14" i="75"/>
  <c r="M58" i="119"/>
  <c r="R55" i="75"/>
  <c r="R56" i="75" s="1"/>
  <c r="U68" i="24"/>
  <c r="V68" i="24" s="1"/>
  <c r="W68" i="24" s="1"/>
  <c r="X68" i="24" s="1"/>
  <c r="Y68" i="24" s="1"/>
  <c r="Z68" i="24" s="1"/>
  <c r="AA68" i="24" s="1"/>
  <c r="AB68" i="24" s="1"/>
  <c r="AC68" i="24" s="1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AO68" i="24" s="1"/>
  <c r="AP68" i="24" s="1"/>
  <c r="AQ68" i="24" s="1"/>
  <c r="AR68" i="24" s="1"/>
  <c r="AS68" i="24" s="1"/>
  <c r="AT68" i="24" s="1"/>
  <c r="AU68" i="24" s="1"/>
  <c r="AV68" i="24" s="1"/>
  <c r="AW68" i="24" s="1"/>
  <c r="Q35" i="75"/>
  <c r="Q40" i="75" s="1"/>
  <c r="Q41" i="75" s="1"/>
  <c r="Q52" i="75" s="1"/>
  <c r="X26" i="24"/>
  <c r="V33" i="119"/>
  <c r="D74" i="24"/>
  <c r="V12" i="24"/>
  <c r="N28" i="119"/>
  <c r="T20" i="24"/>
  <c r="P21" i="75"/>
  <c r="P17" i="119"/>
  <c r="O22" i="75"/>
  <c r="U71" i="24"/>
  <c r="AV70" i="24"/>
  <c r="AT70" i="24"/>
  <c r="AR70" i="24"/>
  <c r="AP70" i="24"/>
  <c r="AN70" i="24"/>
  <c r="AL70" i="24"/>
  <c r="AJ70" i="24"/>
  <c r="AH70" i="24"/>
  <c r="AF70" i="24"/>
  <c r="AD70" i="24"/>
  <c r="AB70" i="24"/>
  <c r="Z70" i="24"/>
  <c r="X70" i="24"/>
  <c r="V70" i="24"/>
  <c r="AW70" i="24"/>
  <c r="AU70" i="24"/>
  <c r="AS70" i="24"/>
  <c r="AQ70" i="24"/>
  <c r="AO70" i="24"/>
  <c r="AM70" i="24"/>
  <c r="AK70" i="24"/>
  <c r="AI70" i="24"/>
  <c r="AG70" i="24"/>
  <c r="AE70" i="24"/>
  <c r="AC70" i="24"/>
  <c r="AA70" i="24"/>
  <c r="Y70" i="24"/>
  <c r="W70" i="24"/>
  <c r="O19" i="119"/>
  <c r="T19" i="24"/>
  <c r="T11" i="24" s="1"/>
  <c r="T13" i="24" s="1"/>
  <c r="U10" i="24" s="1"/>
  <c r="V29" i="24"/>
  <c r="N50" i="217"/>
  <c r="O46" i="217" s="1"/>
  <c r="O47" i="217" s="1"/>
  <c r="O48" i="217" s="1"/>
  <c r="R38" i="217"/>
  <c r="R39" i="217" s="1"/>
  <c r="R41" i="217" s="1"/>
  <c r="S37" i="217" s="1"/>
  <c r="U28" i="75"/>
  <c r="U30" i="75" s="1"/>
  <c r="V27" i="75"/>
  <c r="T45" i="75"/>
  <c r="T46" i="75" s="1"/>
  <c r="T49" i="75" s="1"/>
  <c r="T50" i="75" s="1"/>
  <c r="R35" i="75" l="1"/>
  <c r="R40" i="75" s="1"/>
  <c r="R41" i="75" s="1"/>
  <c r="R52" i="75" s="1"/>
  <c r="R57" i="75"/>
  <c r="R16" i="75" s="1"/>
  <c r="R21" i="75" s="1"/>
  <c r="R58" i="75"/>
  <c r="U37" i="119"/>
  <c r="U54" i="119" s="1"/>
  <c r="M31" i="217"/>
  <c r="N27" i="217" s="1"/>
  <c r="N28" i="217" s="1"/>
  <c r="N29" i="217" s="1"/>
  <c r="X26" i="119"/>
  <c r="X52" i="119"/>
  <c r="Y3" i="119"/>
  <c r="Y25" i="119"/>
  <c r="Y51" i="119"/>
  <c r="Y36" i="119"/>
  <c r="Y35" i="119"/>
  <c r="X4" i="119"/>
  <c r="U20" i="24"/>
  <c r="U19" i="24"/>
  <c r="U11" i="24" s="1"/>
  <c r="U13" i="24" s="1"/>
  <c r="V10" i="24" s="1"/>
  <c r="W14" i="75"/>
  <c r="N56" i="119"/>
  <c r="U157" i="24"/>
  <c r="U158" i="24" s="1"/>
  <c r="U15" i="24"/>
  <c r="S55" i="75"/>
  <c r="S56" i="75" s="1"/>
  <c r="S25" i="27"/>
  <c r="S26" i="27" s="1"/>
  <c r="S27" i="27" s="1"/>
  <c r="O28" i="119"/>
  <c r="V71" i="24"/>
  <c r="W71" i="24" s="1"/>
  <c r="X71" i="24" s="1"/>
  <c r="Y71" i="24" s="1"/>
  <c r="Z71" i="24" s="1"/>
  <c r="AA71" i="24" s="1"/>
  <c r="AB71" i="24" s="1"/>
  <c r="AC71" i="24" s="1"/>
  <c r="AD71" i="24" s="1"/>
  <c r="AE71" i="24" s="1"/>
  <c r="AF71" i="24" s="1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AR71" i="24" s="1"/>
  <c r="AS71" i="24" s="1"/>
  <c r="AT71" i="24" s="1"/>
  <c r="AU71" i="24" s="1"/>
  <c r="AV71" i="24" s="1"/>
  <c r="AW71" i="24" s="1"/>
  <c r="AW73" i="24"/>
  <c r="AU73" i="24"/>
  <c r="AS73" i="24"/>
  <c r="AQ73" i="24"/>
  <c r="AO73" i="24"/>
  <c r="AM73" i="24"/>
  <c r="AK73" i="24"/>
  <c r="AI73" i="24"/>
  <c r="AG73" i="24"/>
  <c r="AE73" i="24"/>
  <c r="AC73" i="24"/>
  <c r="AA73" i="24"/>
  <c r="Y73" i="24"/>
  <c r="W73" i="24"/>
  <c r="V74" i="24"/>
  <c r="AV73" i="24"/>
  <c r="AT73" i="24"/>
  <c r="AR73" i="24"/>
  <c r="AP73" i="24"/>
  <c r="AN73" i="24"/>
  <c r="AL73" i="24"/>
  <c r="AJ73" i="24"/>
  <c r="AH73" i="24"/>
  <c r="AF73" i="24"/>
  <c r="AD73" i="24"/>
  <c r="AB73" i="24"/>
  <c r="Z73" i="24"/>
  <c r="X73" i="24"/>
  <c r="D77" i="24"/>
  <c r="W12" i="24"/>
  <c r="V37" i="119" s="1"/>
  <c r="W29" i="24"/>
  <c r="P19" i="119"/>
  <c r="Q17" i="119"/>
  <c r="P22" i="75"/>
  <c r="W33" i="119"/>
  <c r="Y26" i="24"/>
  <c r="Q21" i="75"/>
  <c r="O50" i="217"/>
  <c r="P46" i="217" s="1"/>
  <c r="P47" i="217" s="1"/>
  <c r="P48" i="217" s="1"/>
  <c r="S38" i="217"/>
  <c r="S39" i="217" s="1"/>
  <c r="S41" i="217" s="1"/>
  <c r="T37" i="217" s="1"/>
  <c r="W27" i="75"/>
  <c r="V28" i="75"/>
  <c r="V30" i="75" s="1"/>
  <c r="U45" i="75"/>
  <c r="U46" i="75" s="1"/>
  <c r="U49" i="75" s="1"/>
  <c r="U50" i="75" s="1"/>
  <c r="S57" i="75" l="1"/>
  <c r="S16" i="75" s="1"/>
  <c r="S58" i="75"/>
  <c r="N31" i="217"/>
  <c r="O27" i="217" s="1"/>
  <c r="Y26" i="119"/>
  <c r="Y4" i="119"/>
  <c r="Y52" i="119"/>
  <c r="Z3" i="119"/>
  <c r="Z51" i="119"/>
  <c r="Z25" i="119"/>
  <c r="Z35" i="119"/>
  <c r="Z36" i="119"/>
  <c r="V20" i="24"/>
  <c r="X14" i="75"/>
  <c r="V19" i="24"/>
  <c r="V11" i="24" s="1"/>
  <c r="V13" i="24" s="1"/>
  <c r="W10" i="24" s="1"/>
  <c r="V54" i="119"/>
  <c r="N58" i="119"/>
  <c r="F61" i="119" s="1"/>
  <c r="O56" i="119"/>
  <c r="O58" i="119" s="1"/>
  <c r="R17" i="119"/>
  <c r="Q22" i="75"/>
  <c r="Q19" i="119"/>
  <c r="P28" i="119"/>
  <c r="W77" i="24"/>
  <c r="AV76" i="24"/>
  <c r="AT76" i="24"/>
  <c r="AR76" i="24"/>
  <c r="AP76" i="24"/>
  <c r="AN76" i="24"/>
  <c r="AL76" i="24"/>
  <c r="AJ76" i="24"/>
  <c r="AH76" i="24"/>
  <c r="AF76" i="24"/>
  <c r="AD76" i="24"/>
  <c r="AB76" i="24"/>
  <c r="Z76" i="24"/>
  <c r="X76" i="24"/>
  <c r="AW76" i="24"/>
  <c r="AU76" i="24"/>
  <c r="AS76" i="24"/>
  <c r="AQ76" i="24"/>
  <c r="AO76" i="24"/>
  <c r="AM76" i="24"/>
  <c r="AK76" i="24"/>
  <c r="AI76" i="24"/>
  <c r="AG76" i="24"/>
  <c r="AE76" i="24"/>
  <c r="AC76" i="24"/>
  <c r="AA76" i="24"/>
  <c r="Y76" i="24"/>
  <c r="W74" i="24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AI74" i="24" s="1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AU74" i="24" s="1"/>
  <c r="AV74" i="24" s="1"/>
  <c r="AW74" i="24" s="1"/>
  <c r="Z26" i="24"/>
  <c r="X33" i="119"/>
  <c r="D80" i="24"/>
  <c r="X12" i="24"/>
  <c r="R22" i="75"/>
  <c r="S17" i="119"/>
  <c r="X29" i="24"/>
  <c r="V157" i="24"/>
  <c r="V158" i="24" s="1"/>
  <c r="V15" i="24"/>
  <c r="T25" i="27"/>
  <c r="T26" i="27" s="1"/>
  <c r="T27" i="27" s="1"/>
  <c r="T55" i="75"/>
  <c r="T56" i="75" s="1"/>
  <c r="S35" i="75"/>
  <c r="S40" i="75" s="1"/>
  <c r="S41" i="75" s="1"/>
  <c r="S52" i="75" s="1"/>
  <c r="P50" i="217"/>
  <c r="Q46" i="217" s="1"/>
  <c r="T38" i="217"/>
  <c r="T39" i="217" s="1"/>
  <c r="T41" i="217" s="1"/>
  <c r="U37" i="217" s="1"/>
  <c r="O28" i="217"/>
  <c r="O29" i="217" s="1"/>
  <c r="V45" i="75"/>
  <c r="V46" i="75" s="1"/>
  <c r="V49" i="75" s="1"/>
  <c r="V50" i="75" s="1"/>
  <c r="W28" i="75"/>
  <c r="W30" i="75" s="1"/>
  <c r="X27" i="75"/>
  <c r="U55" i="75" l="1"/>
  <c r="U56" i="75" s="1"/>
  <c r="U57" i="75" s="1"/>
  <c r="U16" i="75" s="1"/>
  <c r="T58" i="75"/>
  <c r="T57" i="75"/>
  <c r="T16" i="75" s="1"/>
  <c r="W37" i="119"/>
  <c r="W54" i="119" s="1"/>
  <c r="Z52" i="119"/>
  <c r="Z26" i="119"/>
  <c r="AA3" i="119"/>
  <c r="AA25" i="119"/>
  <c r="AA51" i="119"/>
  <c r="AA35" i="119"/>
  <c r="AA36" i="119"/>
  <c r="Z4" i="119"/>
  <c r="W157" i="24"/>
  <c r="W158" i="24" s="1"/>
  <c r="W19" i="24"/>
  <c r="W11" i="24" s="1"/>
  <c r="W13" i="24" s="1"/>
  <c r="X10" i="24" s="1"/>
  <c r="W15" i="24"/>
  <c r="W20" i="24"/>
  <c r="U25" i="27"/>
  <c r="U26" i="27" s="1"/>
  <c r="U27" i="27" s="1"/>
  <c r="Y14" i="75"/>
  <c r="P56" i="119"/>
  <c r="S21" i="75"/>
  <c r="T35" i="75"/>
  <c r="T40" i="75" s="1"/>
  <c r="T41" i="75" s="1"/>
  <c r="T52" i="75" s="1"/>
  <c r="Y29" i="24"/>
  <c r="Y33" i="119"/>
  <c r="AA26" i="24"/>
  <c r="X77" i="24"/>
  <c r="Y77" i="24" s="1"/>
  <c r="Z77" i="24" s="1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AL77" i="24" s="1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S19" i="119"/>
  <c r="AW79" i="24"/>
  <c r="AU79" i="24"/>
  <c r="AS79" i="24"/>
  <c r="AQ79" i="24"/>
  <c r="AO79" i="24"/>
  <c r="AM79" i="24"/>
  <c r="AK79" i="24"/>
  <c r="AI79" i="24"/>
  <c r="AG79" i="24"/>
  <c r="AT79" i="24"/>
  <c r="AP79" i="24"/>
  <c r="AL79" i="24"/>
  <c r="AH79" i="24"/>
  <c r="AE79" i="24"/>
  <c r="AC79" i="24"/>
  <c r="AA79" i="24"/>
  <c r="Y79" i="24"/>
  <c r="X80" i="24"/>
  <c r="AV79" i="24"/>
  <c r="AR79" i="24"/>
  <c r="AN79" i="24"/>
  <c r="AJ79" i="24"/>
  <c r="AF79" i="24"/>
  <c r="AD79" i="24"/>
  <c r="AB79" i="24"/>
  <c r="Z79" i="24"/>
  <c r="D83" i="24"/>
  <c r="Y12" i="24"/>
  <c r="Q28" i="119"/>
  <c r="R19" i="119"/>
  <c r="O31" i="217"/>
  <c r="P27" i="217" s="1"/>
  <c r="P28" i="217" s="1"/>
  <c r="P29" i="217" s="1"/>
  <c r="Q47" i="217"/>
  <c r="Q48" i="217" s="1"/>
  <c r="U38" i="217"/>
  <c r="U39" i="217" s="1"/>
  <c r="U41" i="217" s="1"/>
  <c r="V37" i="217" s="1"/>
  <c r="Y27" i="75"/>
  <c r="X28" i="75"/>
  <c r="X30" i="75" s="1"/>
  <c r="W45" i="75"/>
  <c r="W46" i="75" s="1"/>
  <c r="W49" i="75" s="1"/>
  <c r="W50" i="75" s="1"/>
  <c r="U35" i="75" l="1"/>
  <c r="U40" i="75" s="1"/>
  <c r="U41" i="75" s="1"/>
  <c r="U52" i="75" s="1"/>
  <c r="U58" i="75"/>
  <c r="V25" i="27"/>
  <c r="V26" i="27" s="1"/>
  <c r="V27" i="27" s="1"/>
  <c r="X157" i="24"/>
  <c r="X158" i="24" s="1"/>
  <c r="AA4" i="119"/>
  <c r="AA52" i="119"/>
  <c r="AB3" i="119"/>
  <c r="AB51" i="119"/>
  <c r="AB25" i="119"/>
  <c r="AB36" i="119"/>
  <c r="AB35" i="119"/>
  <c r="AA26" i="119"/>
  <c r="X37" i="119"/>
  <c r="X54" i="119" s="1"/>
  <c r="V55" i="75"/>
  <c r="V56" i="75" s="1"/>
  <c r="V35" i="75" s="1"/>
  <c r="V40" i="75" s="1"/>
  <c r="V41" i="75" s="1"/>
  <c r="V52" i="75" s="1"/>
  <c r="X15" i="24"/>
  <c r="P58" i="119"/>
  <c r="Z14" i="75"/>
  <c r="Y80" i="24"/>
  <c r="Q56" i="119"/>
  <c r="Q58" i="119" s="1"/>
  <c r="R28" i="119"/>
  <c r="S28" i="119"/>
  <c r="AB26" i="24"/>
  <c r="Z33" i="119"/>
  <c r="D86" i="24"/>
  <c r="Z12" i="24"/>
  <c r="X19" i="24"/>
  <c r="X11" i="24" s="1"/>
  <c r="X13" i="24" s="1"/>
  <c r="Y10" i="24" s="1"/>
  <c r="Z29" i="24"/>
  <c r="U21" i="75"/>
  <c r="AW82" i="24"/>
  <c r="AU82" i="24"/>
  <c r="AS82" i="24"/>
  <c r="AQ82" i="24"/>
  <c r="AO82" i="24"/>
  <c r="AM82" i="24"/>
  <c r="AK82" i="24"/>
  <c r="AI82" i="24"/>
  <c r="AG82" i="24"/>
  <c r="AE82" i="24"/>
  <c r="AC82" i="24"/>
  <c r="AA82" i="24"/>
  <c r="Y83" i="24"/>
  <c r="AV82" i="24"/>
  <c r="AT82" i="24"/>
  <c r="AR82" i="24"/>
  <c r="AP82" i="24"/>
  <c r="AN82" i="24"/>
  <c r="AL82" i="24"/>
  <c r="AJ82" i="24"/>
  <c r="AH82" i="24"/>
  <c r="AF82" i="24"/>
  <c r="AD82" i="24"/>
  <c r="AB82" i="24"/>
  <c r="Z82" i="24"/>
  <c r="X20" i="24"/>
  <c r="T21" i="75"/>
  <c r="T17" i="119"/>
  <c r="S22" i="75"/>
  <c r="Q50" i="217"/>
  <c r="R46" i="217" s="1"/>
  <c r="R47" i="217" s="1"/>
  <c r="R48" i="217" s="1"/>
  <c r="P31" i="217"/>
  <c r="Q27" i="217" s="1"/>
  <c r="Q28" i="217" s="1"/>
  <c r="Q29" i="217" s="1"/>
  <c r="V38" i="217"/>
  <c r="V39" i="217" s="1"/>
  <c r="V41" i="217" s="1"/>
  <c r="W37" i="217" s="1"/>
  <c r="Y28" i="75"/>
  <c r="Y30" i="75" s="1"/>
  <c r="Z27" i="75"/>
  <c r="X45" i="75"/>
  <c r="X46" i="75" s="1"/>
  <c r="X49" i="75" s="1"/>
  <c r="X50" i="75" s="1"/>
  <c r="V57" i="75" l="1"/>
  <c r="V16" i="75" s="1"/>
  <c r="V21" i="75" s="1"/>
  <c r="V58" i="75"/>
  <c r="Y20" i="24"/>
  <c r="AB52" i="119"/>
  <c r="AB26" i="119"/>
  <c r="AC3" i="119"/>
  <c r="AC25" i="119"/>
  <c r="AC51" i="119"/>
  <c r="AC35" i="119"/>
  <c r="AC36" i="119"/>
  <c r="AB4" i="119"/>
  <c r="Y37" i="119"/>
  <c r="Z80" i="24"/>
  <c r="AA80" i="24" s="1"/>
  <c r="AB80" i="24" s="1"/>
  <c r="AC80" i="24" s="1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AO80" i="24" s="1"/>
  <c r="AP80" i="24" s="1"/>
  <c r="AQ80" i="24" s="1"/>
  <c r="AR80" i="24" s="1"/>
  <c r="AS80" i="24" s="1"/>
  <c r="AT80" i="24" s="1"/>
  <c r="AU80" i="24" s="1"/>
  <c r="AV80" i="24" s="1"/>
  <c r="AW80" i="24" s="1"/>
  <c r="AA14" i="75"/>
  <c r="R56" i="119"/>
  <c r="S56" i="119"/>
  <c r="T19" i="119"/>
  <c r="U17" i="119"/>
  <c r="T22" i="75"/>
  <c r="Z83" i="24"/>
  <c r="AA83" i="24" s="1"/>
  <c r="AB83" i="24" s="1"/>
  <c r="AC83" i="24" s="1"/>
  <c r="AD83" i="24" s="1"/>
  <c r="AE83" i="24" s="1"/>
  <c r="AF83" i="24" s="1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AR83" i="24" s="1"/>
  <c r="AS83" i="24" s="1"/>
  <c r="AT83" i="24" s="1"/>
  <c r="AU83" i="24" s="1"/>
  <c r="AV83" i="24" s="1"/>
  <c r="AW83" i="24" s="1"/>
  <c r="Y19" i="24"/>
  <c r="Y11" i="24" s="1"/>
  <c r="Y13" i="24" s="1"/>
  <c r="Z10" i="24" s="1"/>
  <c r="AA29" i="24"/>
  <c r="AA33" i="119"/>
  <c r="AC26" i="24"/>
  <c r="V17" i="119"/>
  <c r="U22" i="75"/>
  <c r="Y157" i="24"/>
  <c r="Y158" i="24" s="1"/>
  <c r="Y15" i="24"/>
  <c r="W55" i="75"/>
  <c r="W56" i="75" s="1"/>
  <c r="W25" i="27"/>
  <c r="W26" i="27" s="1"/>
  <c r="W27" i="27" s="1"/>
  <c r="Z86" i="24"/>
  <c r="AV85" i="24"/>
  <c r="AT85" i="24"/>
  <c r="AR85" i="24"/>
  <c r="AP85" i="24"/>
  <c r="AN85" i="24"/>
  <c r="AL85" i="24"/>
  <c r="AJ85" i="24"/>
  <c r="AH85" i="24"/>
  <c r="AF85" i="24"/>
  <c r="AD85" i="24"/>
  <c r="AB85" i="24"/>
  <c r="AW85" i="24"/>
  <c r="AU85" i="24"/>
  <c r="AS85" i="24"/>
  <c r="AQ85" i="24"/>
  <c r="AO85" i="24"/>
  <c r="AM85" i="24"/>
  <c r="AK85" i="24"/>
  <c r="AI85" i="24"/>
  <c r="AG85" i="24"/>
  <c r="AE85" i="24"/>
  <c r="AC85" i="24"/>
  <c r="AA85" i="24"/>
  <c r="D89" i="24"/>
  <c r="AA12" i="24"/>
  <c r="R50" i="217"/>
  <c r="S46" i="217" s="1"/>
  <c r="S47" i="217" s="1"/>
  <c r="S48" i="217" s="1"/>
  <c r="Q31" i="217"/>
  <c r="R27" i="217" s="1"/>
  <c r="W38" i="217"/>
  <c r="W39" i="217" s="1"/>
  <c r="W41" i="217" s="1"/>
  <c r="X37" i="217" s="1"/>
  <c r="Y45" i="75"/>
  <c r="Y46" i="75" s="1"/>
  <c r="Y49" i="75" s="1"/>
  <c r="Y50" i="75" s="1"/>
  <c r="AA27" i="75"/>
  <c r="Z28" i="75"/>
  <c r="Z30" i="75" s="1"/>
  <c r="W57" i="75" l="1"/>
  <c r="W16" i="75" s="1"/>
  <c r="W58" i="75"/>
  <c r="Y54" i="119"/>
  <c r="Z37" i="119"/>
  <c r="AC26" i="119"/>
  <c r="AC4" i="119"/>
  <c r="AC52" i="119"/>
  <c r="AD3" i="119"/>
  <c r="AD25" i="119"/>
  <c r="AD51" i="119"/>
  <c r="AD35" i="119"/>
  <c r="AD36" i="119"/>
  <c r="R58" i="119"/>
  <c r="S58" i="119"/>
  <c r="AB14" i="75"/>
  <c r="Z157" i="24"/>
  <c r="Z158" i="24" s="1"/>
  <c r="Z15" i="24"/>
  <c r="X25" i="27"/>
  <c r="X26" i="27" s="1"/>
  <c r="X27" i="27" s="1"/>
  <c r="X55" i="75"/>
  <c r="X56" i="75" s="1"/>
  <c r="AW88" i="24"/>
  <c r="AU88" i="24"/>
  <c r="AS88" i="24"/>
  <c r="AQ88" i="24"/>
  <c r="AO88" i="24"/>
  <c r="AM88" i="24"/>
  <c r="AK88" i="24"/>
  <c r="AI88" i="24"/>
  <c r="AG88" i="24"/>
  <c r="AE88" i="24"/>
  <c r="AC88" i="24"/>
  <c r="AA89" i="24"/>
  <c r="AV88" i="24"/>
  <c r="AT88" i="24"/>
  <c r="AR88" i="24"/>
  <c r="AP88" i="24"/>
  <c r="AN88" i="24"/>
  <c r="AL88" i="24"/>
  <c r="AJ88" i="24"/>
  <c r="AH88" i="24"/>
  <c r="AF88" i="24"/>
  <c r="AD88" i="24"/>
  <c r="AB88" i="24"/>
  <c r="AA86" i="24"/>
  <c r="AB86" i="24" s="1"/>
  <c r="AC86" i="24" s="1"/>
  <c r="AD86" i="24" s="1"/>
  <c r="AE86" i="24" s="1"/>
  <c r="AF86" i="24" s="1"/>
  <c r="AG86" i="24" s="1"/>
  <c r="AH86" i="24" s="1"/>
  <c r="AI86" i="24" s="1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AU86" i="24" s="1"/>
  <c r="AV86" i="24" s="1"/>
  <c r="AW86" i="24" s="1"/>
  <c r="AD26" i="24"/>
  <c r="AB33" i="119"/>
  <c r="D92" i="24"/>
  <c r="AB12" i="24"/>
  <c r="Z20" i="24"/>
  <c r="AB29" i="24"/>
  <c r="V22" i="75"/>
  <c r="W17" i="119"/>
  <c r="W35" i="75"/>
  <c r="W40" i="75" s="1"/>
  <c r="W41" i="75" s="1"/>
  <c r="W52" i="75" s="1"/>
  <c r="V19" i="119"/>
  <c r="Z19" i="24"/>
  <c r="Z11" i="24" s="1"/>
  <c r="Z13" i="24" s="1"/>
  <c r="AA10" i="24" s="1"/>
  <c r="U19" i="119"/>
  <c r="T28" i="119"/>
  <c r="S50" i="217"/>
  <c r="T46" i="217" s="1"/>
  <c r="T47" i="217" s="1"/>
  <c r="T48" i="217" s="1"/>
  <c r="X38" i="217"/>
  <c r="X39" i="217" s="1"/>
  <c r="X41" i="217" s="1"/>
  <c r="Y37" i="217" s="1"/>
  <c r="R28" i="217"/>
  <c r="R29" i="217" s="1"/>
  <c r="AA28" i="75"/>
  <c r="AA30" i="75" s="1"/>
  <c r="AB27" i="75"/>
  <c r="Z45" i="75"/>
  <c r="Z46" i="75" s="1"/>
  <c r="Z49" i="75" s="1"/>
  <c r="Z50" i="75" s="1"/>
  <c r="X58" i="75" l="1"/>
  <c r="X57" i="75"/>
  <c r="X16" i="75" s="1"/>
  <c r="Z54" i="119"/>
  <c r="AD52" i="119"/>
  <c r="AE3" i="119"/>
  <c r="AE25" i="119"/>
  <c r="AE51" i="119"/>
  <c r="AE35" i="119"/>
  <c r="AE36" i="119"/>
  <c r="AD4" i="119"/>
  <c r="AD26" i="119"/>
  <c r="AA37" i="119"/>
  <c r="AA19" i="24"/>
  <c r="AA11" i="24" s="1"/>
  <c r="AA13" i="24" s="1"/>
  <c r="AB10" i="24" s="1"/>
  <c r="AC14" i="75"/>
  <c r="AA20" i="24"/>
  <c r="T56" i="119"/>
  <c r="T58" i="119" s="1"/>
  <c r="AA157" i="24"/>
  <c r="AA158" i="24" s="1"/>
  <c r="AA15" i="24"/>
  <c r="Y55" i="75"/>
  <c r="Y56" i="75" s="1"/>
  <c r="Y25" i="27"/>
  <c r="Y26" i="27" s="1"/>
  <c r="Y27" i="27" s="1"/>
  <c r="V28" i="119"/>
  <c r="W21" i="75"/>
  <c r="AC29" i="24"/>
  <c r="AC33" i="119"/>
  <c r="AE26" i="24"/>
  <c r="X35" i="75"/>
  <c r="X40" i="75" s="1"/>
  <c r="X41" i="75" s="1"/>
  <c r="X52" i="75" s="1"/>
  <c r="U28" i="119"/>
  <c r="W19" i="119"/>
  <c r="AB92" i="24"/>
  <c r="AV91" i="24"/>
  <c r="AT91" i="24"/>
  <c r="AR91" i="24"/>
  <c r="AP91" i="24"/>
  <c r="AN91" i="24"/>
  <c r="AL91" i="24"/>
  <c r="AJ91" i="24"/>
  <c r="AH91" i="24"/>
  <c r="AF91" i="24"/>
  <c r="AD91" i="24"/>
  <c r="AW91" i="24"/>
  <c r="AU91" i="24"/>
  <c r="AS91" i="24"/>
  <c r="AQ91" i="24"/>
  <c r="AO91" i="24"/>
  <c r="AM91" i="24"/>
  <c r="AK91" i="24"/>
  <c r="AI91" i="24"/>
  <c r="AG91" i="24"/>
  <c r="AE91" i="24"/>
  <c r="AC91" i="24"/>
  <c r="D95" i="24"/>
  <c r="AC12" i="24"/>
  <c r="AB37" i="119" s="1"/>
  <c r="AB89" i="24"/>
  <c r="AC89" i="24" s="1"/>
  <c r="AD89" i="24" s="1"/>
  <c r="AE89" i="24" s="1"/>
  <c r="AF89" i="24" s="1"/>
  <c r="AG89" i="24" s="1"/>
  <c r="AH89" i="24" s="1"/>
  <c r="AI89" i="24" s="1"/>
  <c r="AJ89" i="24" s="1"/>
  <c r="AK89" i="24" s="1"/>
  <c r="AL89" i="24" s="1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Y38" i="217"/>
  <c r="Y39" i="217" s="1"/>
  <c r="Y41" i="217" s="1"/>
  <c r="Z37" i="217" s="1"/>
  <c r="T50" i="217"/>
  <c r="U46" i="217" s="1"/>
  <c r="R31" i="217"/>
  <c r="S27" i="217" s="1"/>
  <c r="AC27" i="75"/>
  <c r="AB28" i="75"/>
  <c r="AB30" i="75" s="1"/>
  <c r="AA45" i="75"/>
  <c r="AA46" i="75" s="1"/>
  <c r="AA49" i="75" s="1"/>
  <c r="AA50" i="75" s="1"/>
  <c r="Y58" i="75" l="1"/>
  <c r="Y57" i="75"/>
  <c r="Y16" i="75" s="1"/>
  <c r="AA54" i="119"/>
  <c r="AE26" i="119"/>
  <c r="AE4" i="119"/>
  <c r="AE52" i="119"/>
  <c r="AF3" i="119"/>
  <c r="AF51" i="119"/>
  <c r="AF25" i="119"/>
  <c r="AF35" i="119"/>
  <c r="AF36" i="119"/>
  <c r="AD14" i="75"/>
  <c r="AB54" i="119"/>
  <c r="U56" i="119"/>
  <c r="V56" i="119"/>
  <c r="V58" i="119" s="1"/>
  <c r="AW94" i="24"/>
  <c r="AU94" i="24"/>
  <c r="AS94" i="24"/>
  <c r="AQ94" i="24"/>
  <c r="AO94" i="24"/>
  <c r="AM94" i="24"/>
  <c r="AK94" i="24"/>
  <c r="AI94" i="24"/>
  <c r="AG94" i="24"/>
  <c r="AE94" i="24"/>
  <c r="AC95" i="24"/>
  <c r="AV94" i="24"/>
  <c r="AT94" i="24"/>
  <c r="AR94" i="24"/>
  <c r="AP94" i="24"/>
  <c r="AN94" i="24"/>
  <c r="AL94" i="24"/>
  <c r="AJ94" i="24"/>
  <c r="AH94" i="24"/>
  <c r="AF94" i="24"/>
  <c r="AD94" i="24"/>
  <c r="AC92" i="24"/>
  <c r="AD92" i="24" s="1"/>
  <c r="AE92" i="24" s="1"/>
  <c r="AF92" i="24" s="1"/>
  <c r="AG92" i="24" s="1"/>
  <c r="AH92" i="24" s="1"/>
  <c r="AI92" i="24" s="1"/>
  <c r="AJ92" i="24" s="1"/>
  <c r="AK92" i="24" s="1"/>
  <c r="AL92" i="24" s="1"/>
  <c r="AM92" i="24" s="1"/>
  <c r="AN92" i="24" s="1"/>
  <c r="AO92" i="24" s="1"/>
  <c r="AP92" i="24" s="1"/>
  <c r="AQ92" i="24" s="1"/>
  <c r="AR92" i="24" s="1"/>
  <c r="AS92" i="24" s="1"/>
  <c r="AT92" i="24" s="1"/>
  <c r="AU92" i="24" s="1"/>
  <c r="AV92" i="24" s="1"/>
  <c r="AW92" i="24" s="1"/>
  <c r="AF26" i="24"/>
  <c r="AD33" i="119"/>
  <c r="D98" i="24"/>
  <c r="AD12" i="24"/>
  <c r="AB20" i="24"/>
  <c r="AD29" i="24"/>
  <c r="X17" i="119"/>
  <c r="W22" i="75"/>
  <c r="Y35" i="75"/>
  <c r="Y40" i="75" s="1"/>
  <c r="Y41" i="75" s="1"/>
  <c r="Y52" i="75" s="1"/>
  <c r="W28" i="119"/>
  <c r="X21" i="75"/>
  <c r="AB19" i="24"/>
  <c r="AB11" i="24" s="1"/>
  <c r="AB13" i="24" s="1"/>
  <c r="AC10" i="24" s="1"/>
  <c r="AB157" i="24"/>
  <c r="AB158" i="24" s="1"/>
  <c r="AB15" i="24"/>
  <c r="Z25" i="27"/>
  <c r="Z26" i="27" s="1"/>
  <c r="Z27" i="27" s="1"/>
  <c r="Z55" i="75"/>
  <c r="Z56" i="75" s="1"/>
  <c r="Z38" i="217"/>
  <c r="Z39" i="217" s="1"/>
  <c r="Z41" i="217" s="1"/>
  <c r="AA37" i="217" s="1"/>
  <c r="S28" i="217"/>
  <c r="S29" i="217" s="1"/>
  <c r="U47" i="217"/>
  <c r="U48" i="217" s="1"/>
  <c r="AC28" i="75"/>
  <c r="AC30" i="75" s="1"/>
  <c r="AD27" i="75"/>
  <c r="AB45" i="75"/>
  <c r="AB46" i="75" s="1"/>
  <c r="AB49" i="75" s="1"/>
  <c r="AB50" i="75" s="1"/>
  <c r="Z57" i="75" l="1"/>
  <c r="Z58" i="75"/>
  <c r="AC37" i="119"/>
  <c r="AF52" i="119"/>
  <c r="AF26" i="119"/>
  <c r="AG3" i="119"/>
  <c r="AG25" i="119"/>
  <c r="AG51" i="119"/>
  <c r="AG35" i="119"/>
  <c r="AG36" i="119"/>
  <c r="AF4" i="119"/>
  <c r="U58" i="119"/>
  <c r="AE14" i="75"/>
  <c r="AC20" i="24"/>
  <c r="W56" i="119"/>
  <c r="AC19" i="24"/>
  <c r="AC11" i="24" s="1"/>
  <c r="AC13" i="24" s="1"/>
  <c r="AD10" i="24" s="1"/>
  <c r="Z16" i="75"/>
  <c r="Z35" i="75"/>
  <c r="Z40" i="75" s="1"/>
  <c r="Z41" i="75" s="1"/>
  <c r="Z52" i="75" s="1"/>
  <c r="Y17" i="119"/>
  <c r="X22" i="75"/>
  <c r="AD98" i="24"/>
  <c r="AV97" i="24"/>
  <c r="AW97" i="24"/>
  <c r="AT97" i="24"/>
  <c r="AR97" i="24"/>
  <c r="AP97" i="24"/>
  <c r="AN97" i="24"/>
  <c r="AL97" i="24"/>
  <c r="AJ97" i="24"/>
  <c r="AH97" i="24"/>
  <c r="AF97" i="24"/>
  <c r="AU97" i="24"/>
  <c r="AS97" i="24"/>
  <c r="AQ97" i="24"/>
  <c r="AO97" i="24"/>
  <c r="AM97" i="24"/>
  <c r="AK97" i="24"/>
  <c r="AI97" i="24"/>
  <c r="AG97" i="24"/>
  <c r="AE97" i="24"/>
  <c r="D101" i="24"/>
  <c r="AE12" i="24"/>
  <c r="AD37" i="119" s="1"/>
  <c r="AD95" i="24"/>
  <c r="AE95" i="24" s="1"/>
  <c r="AF95" i="24" s="1"/>
  <c r="AG95" i="24" s="1"/>
  <c r="AH95" i="24" s="1"/>
  <c r="AI95" i="24" s="1"/>
  <c r="AJ95" i="24" s="1"/>
  <c r="AK95" i="24" s="1"/>
  <c r="AL95" i="24" s="1"/>
  <c r="AM95" i="24" s="1"/>
  <c r="AN95" i="24" s="1"/>
  <c r="AO95" i="24" s="1"/>
  <c r="AP95" i="24" s="1"/>
  <c r="AQ95" i="24" s="1"/>
  <c r="AR95" i="24" s="1"/>
  <c r="AS95" i="24" s="1"/>
  <c r="AT95" i="24" s="1"/>
  <c r="AU95" i="24" s="1"/>
  <c r="AV95" i="24" s="1"/>
  <c r="AW95" i="24" s="1"/>
  <c r="AC157" i="24"/>
  <c r="AC158" i="24" s="1"/>
  <c r="AC15" i="24"/>
  <c r="AA55" i="75"/>
  <c r="AA56" i="75" s="1"/>
  <c r="AA25" i="27"/>
  <c r="AA26" i="27" s="1"/>
  <c r="AA27" i="27" s="1"/>
  <c r="Y21" i="75"/>
  <c r="X19" i="119"/>
  <c r="AE29" i="24"/>
  <c r="AE33" i="119"/>
  <c r="AG26" i="24"/>
  <c r="U50" i="217"/>
  <c r="V46" i="217" s="1"/>
  <c r="V47" i="217" s="1"/>
  <c r="V48" i="217" s="1"/>
  <c r="S31" i="217"/>
  <c r="T27" i="217" s="1"/>
  <c r="T28" i="217" s="1"/>
  <c r="T29" i="217" s="1"/>
  <c r="AA38" i="217"/>
  <c r="AA39" i="217" s="1"/>
  <c r="AA41" i="217" s="1"/>
  <c r="AB37" i="217" s="1"/>
  <c r="AE27" i="75"/>
  <c r="AD28" i="75"/>
  <c r="AD30" i="75" s="1"/>
  <c r="AC45" i="75"/>
  <c r="AC46" i="75" s="1"/>
  <c r="AC49" i="75" s="1"/>
  <c r="AC50" i="75" s="1"/>
  <c r="AD157" i="24" l="1"/>
  <c r="AD158" i="24" s="1"/>
  <c r="AA57" i="75"/>
  <c r="AA16" i="75" s="1"/>
  <c r="AA58" i="75"/>
  <c r="AG4" i="119"/>
  <c r="AG52" i="119"/>
  <c r="AH3" i="119"/>
  <c r="AH51" i="119"/>
  <c r="AH25" i="119"/>
  <c r="AH35" i="119"/>
  <c r="AH36" i="119"/>
  <c r="AD19" i="24"/>
  <c r="AD11" i="24" s="1"/>
  <c r="AD13" i="24" s="1"/>
  <c r="AE10" i="24" s="1"/>
  <c r="AG26" i="119"/>
  <c r="W58" i="119"/>
  <c r="AF14" i="75"/>
  <c r="AD20" i="24"/>
  <c r="AD15" i="24"/>
  <c r="AB55" i="75"/>
  <c r="AB56" i="75" s="1"/>
  <c r="AC54" i="119"/>
  <c r="AD54" i="119"/>
  <c r="AB25" i="27"/>
  <c r="AB26" i="27" s="1"/>
  <c r="AB27" i="27" s="1"/>
  <c r="AH26" i="24"/>
  <c r="AF33" i="119"/>
  <c r="D104" i="24"/>
  <c r="AF12" i="24"/>
  <c r="AF29" i="24"/>
  <c r="AW100" i="24"/>
  <c r="AU100" i="24"/>
  <c r="AS100" i="24"/>
  <c r="AQ100" i="24"/>
  <c r="AO100" i="24"/>
  <c r="AM100" i="24"/>
  <c r="AK100" i="24"/>
  <c r="AI100" i="24"/>
  <c r="AG100" i="24"/>
  <c r="AE101" i="24"/>
  <c r="AV100" i="24"/>
  <c r="AR100" i="24"/>
  <c r="AN100" i="24"/>
  <c r="AJ100" i="24"/>
  <c r="AF100" i="24"/>
  <c r="AT100" i="24"/>
  <c r="AP100" i="24"/>
  <c r="AL100" i="24"/>
  <c r="AH100" i="24"/>
  <c r="AE98" i="24"/>
  <c r="AF98" i="24" s="1"/>
  <c r="AG98" i="24" s="1"/>
  <c r="AH98" i="24" s="1"/>
  <c r="AI98" i="24" s="1"/>
  <c r="AJ98" i="24" s="1"/>
  <c r="AK98" i="24" s="1"/>
  <c r="AL98" i="24" s="1"/>
  <c r="AM98" i="24" s="1"/>
  <c r="AN98" i="24" s="1"/>
  <c r="AO98" i="24" s="1"/>
  <c r="AP98" i="24" s="1"/>
  <c r="AQ98" i="24" s="1"/>
  <c r="AR98" i="24" s="1"/>
  <c r="AS98" i="24" s="1"/>
  <c r="AT98" i="24" s="1"/>
  <c r="AU98" i="24" s="1"/>
  <c r="AV98" i="24" s="1"/>
  <c r="AW98" i="24" s="1"/>
  <c r="Z21" i="75"/>
  <c r="X28" i="119"/>
  <c r="Z17" i="119"/>
  <c r="Y22" i="75"/>
  <c r="AA35" i="75"/>
  <c r="AA40" i="75" s="1"/>
  <c r="AA41" i="75" s="1"/>
  <c r="AA52" i="75" s="1"/>
  <c r="Y19" i="119"/>
  <c r="V50" i="217"/>
  <c r="W46" i="217" s="1"/>
  <c r="W47" i="217" s="1"/>
  <c r="W48" i="217" s="1"/>
  <c r="AB38" i="217"/>
  <c r="AB39" i="217" s="1"/>
  <c r="AB41" i="217" s="1"/>
  <c r="AC37" i="217" s="1"/>
  <c r="T31" i="217"/>
  <c r="U27" i="217" s="1"/>
  <c r="AE28" i="75"/>
  <c r="AE30" i="75" s="1"/>
  <c r="AF27" i="75"/>
  <c r="AD45" i="75"/>
  <c r="AD46" i="75" s="1"/>
  <c r="AD49" i="75" s="1"/>
  <c r="AD50" i="75" s="1"/>
  <c r="AB35" i="75" l="1"/>
  <c r="AB40" i="75" s="1"/>
  <c r="AB41" i="75" s="1"/>
  <c r="AB52" i="75" s="1"/>
  <c r="AB58" i="75"/>
  <c r="AB57" i="75"/>
  <c r="AB16" i="75" s="1"/>
  <c r="AB21" i="75" s="1"/>
  <c r="AE157" i="24"/>
  <c r="AE158" i="24" s="1"/>
  <c r="AC25" i="27"/>
  <c r="AC26" i="27" s="1"/>
  <c r="AC27" i="27" s="1"/>
  <c r="AC55" i="75"/>
  <c r="AC56" i="75" s="1"/>
  <c r="AE15" i="24"/>
  <c r="AE37" i="119"/>
  <c r="AE54" i="119" s="1"/>
  <c r="AH52" i="119"/>
  <c r="AI36" i="119"/>
  <c r="AJ36" i="119" s="1"/>
  <c r="AH26" i="119"/>
  <c r="AI3" i="119"/>
  <c r="AH4" i="119"/>
  <c r="AG14" i="75"/>
  <c r="AF101" i="24"/>
  <c r="AG101" i="24" s="1"/>
  <c r="AH101" i="24" s="1"/>
  <c r="AI101" i="24" s="1"/>
  <c r="AJ101" i="24" s="1"/>
  <c r="AK101" i="24" s="1"/>
  <c r="AL101" i="24" s="1"/>
  <c r="AM101" i="24" s="1"/>
  <c r="AN101" i="24" s="1"/>
  <c r="AO101" i="24" s="1"/>
  <c r="AP101" i="24" s="1"/>
  <c r="AQ101" i="24" s="1"/>
  <c r="AR101" i="24" s="1"/>
  <c r="AS101" i="24" s="1"/>
  <c r="AT101" i="24" s="1"/>
  <c r="AU101" i="24" s="1"/>
  <c r="AV101" i="24" s="1"/>
  <c r="AW101" i="24" s="1"/>
  <c r="X56" i="119"/>
  <c r="X58" i="119" s="1"/>
  <c r="Y28" i="119"/>
  <c r="AA21" i="75"/>
  <c r="Z19" i="119"/>
  <c r="AE20" i="24"/>
  <c r="AG29" i="24"/>
  <c r="AF104" i="24"/>
  <c r="AV103" i="24"/>
  <c r="AT103" i="24"/>
  <c r="AR103" i="24"/>
  <c r="AP103" i="24"/>
  <c r="AN103" i="24"/>
  <c r="AL103" i="24"/>
  <c r="AJ103" i="24"/>
  <c r="AH103" i="24"/>
  <c r="AU103" i="24"/>
  <c r="AQ103" i="24"/>
  <c r="AM103" i="24"/>
  <c r="AI103" i="24"/>
  <c r="AW103" i="24"/>
  <c r="AS103" i="24"/>
  <c r="AO103" i="24"/>
  <c r="AK103" i="24"/>
  <c r="AG103" i="24"/>
  <c r="D107" i="24"/>
  <c r="AG12" i="24"/>
  <c r="Z22" i="75"/>
  <c r="AA17" i="119"/>
  <c r="AE19" i="24"/>
  <c r="AE11" i="24" s="1"/>
  <c r="AE13" i="24" s="1"/>
  <c r="AF10" i="24" s="1"/>
  <c r="AG33" i="119"/>
  <c r="AI26" i="24"/>
  <c r="W50" i="217"/>
  <c r="X46" i="217" s="1"/>
  <c r="X47" i="217" s="1"/>
  <c r="X48" i="217" s="1"/>
  <c r="AC38" i="217"/>
  <c r="AC39" i="217" s="1"/>
  <c r="AC41" i="217" s="1"/>
  <c r="AD37" i="217" s="1"/>
  <c r="U28" i="217"/>
  <c r="U29" i="217" s="1"/>
  <c r="AE45" i="75"/>
  <c r="AE46" i="75" s="1"/>
  <c r="AE49" i="75" s="1"/>
  <c r="AE50" i="75" s="1"/>
  <c r="AG27" i="75"/>
  <c r="AG28" i="75" s="1"/>
  <c r="AG30" i="75" s="1"/>
  <c r="AF28" i="75"/>
  <c r="AF30" i="75" s="1"/>
  <c r="AC58" i="75" l="1"/>
  <c r="AC57" i="75"/>
  <c r="AC16" i="75" s="1"/>
  <c r="AC21" i="75" s="1"/>
  <c r="AC35" i="75"/>
  <c r="AC40" i="75" s="1"/>
  <c r="AC41" i="75" s="1"/>
  <c r="AC52" i="75" s="1"/>
  <c r="AI4" i="119"/>
  <c r="AJ4" i="119" s="1"/>
  <c r="AJ3" i="119"/>
  <c r="AJ43" i="119" s="1"/>
  <c r="AI43" i="119"/>
  <c r="AF37" i="119"/>
  <c r="Y56" i="119"/>
  <c r="AF157" i="24"/>
  <c r="AF158" i="24" s="1"/>
  <c r="AF15" i="24"/>
  <c r="AD25" i="27"/>
  <c r="AD26" i="27" s="1"/>
  <c r="AD27" i="27" s="1"/>
  <c r="AD55" i="75"/>
  <c r="AD56" i="75" s="1"/>
  <c r="AG107" i="24"/>
  <c r="AV106" i="24"/>
  <c r="AT106" i="24"/>
  <c r="AR106" i="24"/>
  <c r="AP106" i="24"/>
  <c r="AN106" i="24"/>
  <c r="AL106" i="24"/>
  <c r="AJ106" i="24"/>
  <c r="AH106" i="24"/>
  <c r="AW106" i="24"/>
  <c r="AU106" i="24"/>
  <c r="AS106" i="24"/>
  <c r="AQ106" i="24"/>
  <c r="AO106" i="24"/>
  <c r="AM106" i="24"/>
  <c r="AK106" i="24"/>
  <c r="AI106" i="24"/>
  <c r="AG104" i="24"/>
  <c r="AH104" i="24" s="1"/>
  <c r="AI104" i="24" s="1"/>
  <c r="AJ104" i="24" s="1"/>
  <c r="AK104" i="24" s="1"/>
  <c r="AL104" i="24" s="1"/>
  <c r="AM104" i="24" s="1"/>
  <c r="AN104" i="24" s="1"/>
  <c r="AO104" i="24" s="1"/>
  <c r="AP104" i="24" s="1"/>
  <c r="AQ104" i="24" s="1"/>
  <c r="AR104" i="24" s="1"/>
  <c r="AS104" i="24" s="1"/>
  <c r="AT104" i="24" s="1"/>
  <c r="AU104" i="24" s="1"/>
  <c r="AV104" i="24" s="1"/>
  <c r="AW104" i="24" s="1"/>
  <c r="AF19" i="24"/>
  <c r="AF11" i="24" s="1"/>
  <c r="AF13" i="24" s="1"/>
  <c r="AG10" i="24" s="1"/>
  <c r="Z28" i="119"/>
  <c r="AJ26" i="24"/>
  <c r="AH33" i="119"/>
  <c r="D110" i="24"/>
  <c r="AH12" i="24"/>
  <c r="AA19" i="119"/>
  <c r="AF20" i="24"/>
  <c r="AH29" i="24"/>
  <c r="AC17" i="119"/>
  <c r="AB22" i="75"/>
  <c r="AB17" i="119"/>
  <c r="AA22" i="75"/>
  <c r="X50" i="217"/>
  <c r="Y46" i="217" s="1"/>
  <c r="Y47" i="217" s="1"/>
  <c r="Y48" i="217" s="1"/>
  <c r="U31" i="217"/>
  <c r="V27" i="217" s="1"/>
  <c r="AD38" i="217"/>
  <c r="AD39" i="217" s="1"/>
  <c r="AD41" i="217" s="1"/>
  <c r="AE37" i="217" s="1"/>
  <c r="AG45" i="75"/>
  <c r="AG46" i="75" s="1"/>
  <c r="AG49" i="75" s="1"/>
  <c r="AG50" i="75" s="1"/>
  <c r="AF45" i="75"/>
  <c r="AF46" i="75" s="1"/>
  <c r="AF49" i="75" s="1"/>
  <c r="AF50" i="75" s="1"/>
  <c r="AG19" i="24" l="1"/>
  <c r="AG11" i="24" s="1"/>
  <c r="AG13" i="24" s="1"/>
  <c r="AH10" i="24" s="1"/>
  <c r="AD57" i="75"/>
  <c r="AD16" i="75" s="1"/>
  <c r="AD58" i="75"/>
  <c r="AG37" i="119"/>
  <c r="AG54" i="119" s="1"/>
  <c r="AG20" i="24"/>
  <c r="Y58" i="119"/>
  <c r="AF54" i="119"/>
  <c r="Z56" i="119"/>
  <c r="AB19" i="119"/>
  <c r="AC19" i="119"/>
  <c r="AI29" i="24"/>
  <c r="AA28" i="119"/>
  <c r="AG157" i="24"/>
  <c r="AG158" i="24" s="1"/>
  <c r="AG15" i="24"/>
  <c r="AE55" i="75"/>
  <c r="AE56" i="75" s="1"/>
  <c r="AE25" i="27"/>
  <c r="AE26" i="27" s="1"/>
  <c r="AE27" i="27" s="1"/>
  <c r="AW109" i="24"/>
  <c r="AU109" i="24"/>
  <c r="AS109" i="24"/>
  <c r="AQ109" i="24"/>
  <c r="AO109" i="24"/>
  <c r="AM109" i="24"/>
  <c r="AK109" i="24"/>
  <c r="AI109" i="24"/>
  <c r="AH110" i="24"/>
  <c r="AV109" i="24"/>
  <c r="AT109" i="24"/>
  <c r="AR109" i="24"/>
  <c r="AP109" i="24"/>
  <c r="AN109" i="24"/>
  <c r="AL109" i="24"/>
  <c r="AJ109" i="24"/>
  <c r="AK26" i="24"/>
  <c r="D113" i="24"/>
  <c r="AI12" i="24"/>
  <c r="AH37" i="119" s="1"/>
  <c r="AH107" i="24"/>
  <c r="AI107" i="24" s="1"/>
  <c r="AJ107" i="24" s="1"/>
  <c r="AK107" i="24" s="1"/>
  <c r="AL107" i="24" s="1"/>
  <c r="AM107" i="24" s="1"/>
  <c r="AN107" i="24" s="1"/>
  <c r="AO107" i="24" s="1"/>
  <c r="AP107" i="24" s="1"/>
  <c r="AQ107" i="24" s="1"/>
  <c r="AR107" i="24" s="1"/>
  <c r="AS107" i="24" s="1"/>
  <c r="AT107" i="24" s="1"/>
  <c r="AU107" i="24" s="1"/>
  <c r="AV107" i="24" s="1"/>
  <c r="AW107" i="24" s="1"/>
  <c r="AD17" i="119"/>
  <c r="AC22" i="75"/>
  <c r="AD35" i="75"/>
  <c r="AD40" i="75" s="1"/>
  <c r="AD41" i="75" s="1"/>
  <c r="AD52" i="75" s="1"/>
  <c r="Y50" i="217"/>
  <c r="Z46" i="217" s="1"/>
  <c r="Z47" i="217" s="1"/>
  <c r="Z48" i="217" s="1"/>
  <c r="AE38" i="217"/>
  <c r="AE39" i="217" s="1"/>
  <c r="AE41" i="217" s="1"/>
  <c r="AF37" i="217" s="1"/>
  <c r="V28" i="217"/>
  <c r="V29" i="217" s="1"/>
  <c r="AH15" i="24" l="1"/>
  <c r="AE57" i="75"/>
  <c r="AE16" i="75" s="1"/>
  <c r="AE58" i="75"/>
  <c r="AF25" i="27"/>
  <c r="AF26" i="27" s="1"/>
  <c r="AF27" i="27" s="1"/>
  <c r="Z58" i="119"/>
  <c r="AH157" i="24"/>
  <c r="AH158" i="24" s="1"/>
  <c r="AF55" i="75"/>
  <c r="AF56" i="75" s="1"/>
  <c r="AI110" i="24"/>
  <c r="AJ110" i="24" s="1"/>
  <c r="AK110" i="24" s="1"/>
  <c r="AL110" i="24" s="1"/>
  <c r="AM110" i="24" s="1"/>
  <c r="AN110" i="24" s="1"/>
  <c r="AO110" i="24" s="1"/>
  <c r="AP110" i="24" s="1"/>
  <c r="AQ110" i="24" s="1"/>
  <c r="AR110" i="24" s="1"/>
  <c r="AS110" i="24" s="1"/>
  <c r="AT110" i="24" s="1"/>
  <c r="AU110" i="24" s="1"/>
  <c r="AV110" i="24" s="1"/>
  <c r="AW110" i="24" s="1"/>
  <c r="AH54" i="119"/>
  <c r="AA56" i="119"/>
  <c r="AA58" i="119" s="1"/>
  <c r="AE35" i="75"/>
  <c r="AE40" i="75" s="1"/>
  <c r="AE41" i="75" s="1"/>
  <c r="AE52" i="75" s="1"/>
  <c r="AH20" i="24"/>
  <c r="AJ29" i="24"/>
  <c r="AD21" i="75"/>
  <c r="AD19" i="119"/>
  <c r="AI113" i="24"/>
  <c r="AV112" i="24"/>
  <c r="AT112" i="24"/>
  <c r="AR112" i="24"/>
  <c r="AP112" i="24"/>
  <c r="AN112" i="24"/>
  <c r="AL112" i="24"/>
  <c r="AJ112" i="24"/>
  <c r="AW112" i="24"/>
  <c r="AU112" i="24"/>
  <c r="AS112" i="24"/>
  <c r="AQ112" i="24"/>
  <c r="AO112" i="24"/>
  <c r="AM112" i="24"/>
  <c r="AK112" i="24"/>
  <c r="AL26" i="24"/>
  <c r="AH19" i="24"/>
  <c r="AH11" i="24" s="1"/>
  <c r="AH13" i="24" s="1"/>
  <c r="AI10" i="24" s="1"/>
  <c r="AC28" i="119"/>
  <c r="AB28" i="119"/>
  <c r="AF38" i="217"/>
  <c r="AF39" i="217" s="1"/>
  <c r="AF41" i="217" s="1"/>
  <c r="AG37" i="217" s="1"/>
  <c r="Z50" i="217"/>
  <c r="AA46" i="217" s="1"/>
  <c r="V31" i="217"/>
  <c r="W27" i="217" s="1"/>
  <c r="AF35" i="75" l="1"/>
  <c r="AF40" i="75" s="1"/>
  <c r="AF41" i="75" s="1"/>
  <c r="AF52" i="75" s="1"/>
  <c r="AF58" i="75"/>
  <c r="AF57" i="75"/>
  <c r="AF16" i="75" s="1"/>
  <c r="AF21" i="75" s="1"/>
  <c r="AC56" i="119"/>
  <c r="AB56" i="119"/>
  <c r="AM26" i="24"/>
  <c r="AJ113" i="24"/>
  <c r="AK113" i="24" s="1"/>
  <c r="AL113" i="24" s="1"/>
  <c r="AM113" i="24" s="1"/>
  <c r="AN113" i="24" s="1"/>
  <c r="AO113" i="24" s="1"/>
  <c r="AP113" i="24" s="1"/>
  <c r="AQ113" i="24" s="1"/>
  <c r="AR113" i="24" s="1"/>
  <c r="AS113" i="24" s="1"/>
  <c r="AT113" i="24" s="1"/>
  <c r="AU113" i="24" s="1"/>
  <c r="AI20" i="24"/>
  <c r="AE21" i="75"/>
  <c r="AI157" i="24"/>
  <c r="AI158" i="24" s="1"/>
  <c r="AI15" i="24"/>
  <c r="AG55" i="75"/>
  <c r="AG56" i="75" s="1"/>
  <c r="AG25" i="27"/>
  <c r="AG26" i="27" s="1"/>
  <c r="AG27" i="27" s="1"/>
  <c r="AD28" i="119"/>
  <c r="AE17" i="119"/>
  <c r="AD22" i="75"/>
  <c r="AI19" i="24"/>
  <c r="AI11" i="24" s="1"/>
  <c r="AI13" i="24" s="1"/>
  <c r="AJ10" i="24" s="1"/>
  <c r="AK29" i="24"/>
  <c r="AG38" i="217"/>
  <c r="AG39" i="217" s="1"/>
  <c r="AG41" i="217" s="1"/>
  <c r="AA47" i="217"/>
  <c r="AA48" i="217" s="1"/>
  <c r="W28" i="217"/>
  <c r="W29" i="217" s="1"/>
  <c r="AG58" i="75" l="1"/>
  <c r="AG57" i="75"/>
  <c r="AG16" i="75" s="1"/>
  <c r="AJ20" i="24"/>
  <c r="AJ19" i="24"/>
  <c r="AJ11" i="24" s="1"/>
  <c r="AJ13" i="24" s="1"/>
  <c r="AK10" i="24" s="1"/>
  <c r="AB58" i="119"/>
  <c r="AC58" i="119"/>
  <c r="AD56" i="119"/>
  <c r="AD58" i="119" s="1"/>
  <c r="AL29" i="24"/>
  <c r="AK20" i="24"/>
  <c r="AK19" i="24"/>
  <c r="AK11" i="24" s="1"/>
  <c r="AV113" i="24"/>
  <c r="AU19" i="24"/>
  <c r="AU11" i="24" s="1"/>
  <c r="AU20" i="24"/>
  <c r="AN26" i="24"/>
  <c r="AE19" i="119"/>
  <c r="AG35" i="75"/>
  <c r="AG40" i="75" s="1"/>
  <c r="AG41" i="75" s="1"/>
  <c r="AG52" i="75" s="1"/>
  <c r="AF17" i="119"/>
  <c r="AE22" i="75"/>
  <c r="AG17" i="119"/>
  <c r="AF22" i="75"/>
  <c r="AA50" i="217"/>
  <c r="AB46" i="217" s="1"/>
  <c r="AB47" i="217" s="1"/>
  <c r="AB48" i="217" s="1"/>
  <c r="W31" i="217"/>
  <c r="X27" i="217" s="1"/>
  <c r="AK13" i="24" l="1"/>
  <c r="AL10" i="24" s="1"/>
  <c r="AG19" i="119"/>
  <c r="AF19" i="119"/>
  <c r="AG21" i="75"/>
  <c r="AE28" i="119"/>
  <c r="AW113" i="24"/>
  <c r="AV20" i="24"/>
  <c r="AV19" i="24"/>
  <c r="AV11" i="24" s="1"/>
  <c r="AM29" i="24"/>
  <c r="AL19" i="24"/>
  <c r="AL11" i="24" s="1"/>
  <c r="AL13" i="24" s="1"/>
  <c r="AM10" i="24" s="1"/>
  <c r="AL20" i="24"/>
  <c r="AO26" i="24"/>
  <c r="AB50" i="217"/>
  <c r="AC46" i="217" s="1"/>
  <c r="X28" i="217"/>
  <c r="X29" i="217" s="1"/>
  <c r="AE56" i="119" l="1"/>
  <c r="AP26" i="24"/>
  <c r="AW20" i="24"/>
  <c r="AW19" i="24"/>
  <c r="AW11" i="24" s="1"/>
  <c r="AH17" i="119"/>
  <c r="AG22" i="75"/>
  <c r="AN29" i="24"/>
  <c r="AM19" i="24"/>
  <c r="AM11" i="24" s="1"/>
  <c r="AM13" i="24" s="1"/>
  <c r="AN10" i="24" s="1"/>
  <c r="AM20" i="24"/>
  <c r="AF28" i="119"/>
  <c r="AG28" i="119"/>
  <c r="X31" i="217"/>
  <c r="Y27" i="217" s="1"/>
  <c r="AC47" i="217"/>
  <c r="AC48" i="217" s="1"/>
  <c r="AE58" i="119" l="1"/>
  <c r="AF56" i="119"/>
  <c r="AF58" i="119" s="1"/>
  <c r="AG56" i="119"/>
  <c r="AG58" i="119" s="1"/>
  <c r="AH19" i="119"/>
  <c r="AO29" i="24"/>
  <c r="AN19" i="24"/>
  <c r="AN11" i="24" s="1"/>
  <c r="AN13" i="24" s="1"/>
  <c r="AO10" i="24" s="1"/>
  <c r="AN20" i="24"/>
  <c r="AQ26" i="24"/>
  <c r="Y28" i="217"/>
  <c r="Y29" i="217" s="1"/>
  <c r="AC50" i="217"/>
  <c r="AD46" i="217" s="1"/>
  <c r="AR26" i="24" l="1"/>
  <c r="AP29" i="24"/>
  <c r="AO19" i="24"/>
  <c r="AO11" i="24" s="1"/>
  <c r="AO13" i="24" s="1"/>
  <c r="AP10" i="24" s="1"/>
  <c r="AO20" i="24"/>
  <c r="AH28" i="119"/>
  <c r="AD47" i="217"/>
  <c r="AD48" i="217" s="1"/>
  <c r="Y31" i="217"/>
  <c r="Z27" i="217" s="1"/>
  <c r="AH56" i="119" l="1"/>
  <c r="AQ29" i="24"/>
  <c r="AP20" i="24"/>
  <c r="AP19" i="24"/>
  <c r="AP11" i="24" s="1"/>
  <c r="AP13" i="24" s="1"/>
  <c r="AQ10" i="24" s="1"/>
  <c r="AS26" i="24"/>
  <c r="Z28" i="217"/>
  <c r="Z29" i="217" s="1"/>
  <c r="AD50" i="217"/>
  <c r="AE46" i="217" s="1"/>
  <c r="D57" i="119" l="1"/>
  <c r="AH58" i="119"/>
  <c r="D58" i="119" s="1"/>
  <c r="AR29" i="24"/>
  <c r="AQ19" i="24"/>
  <c r="AQ11" i="24" s="1"/>
  <c r="AQ13" i="24" s="1"/>
  <c r="AR10" i="24" s="1"/>
  <c r="AQ20" i="24"/>
  <c r="AE47" i="217"/>
  <c r="AE48" i="217" s="1"/>
  <c r="Z31" i="217"/>
  <c r="AA27" i="217" s="1"/>
  <c r="G61" i="119" l="1"/>
  <c r="AS29" i="24"/>
  <c r="AR19" i="24"/>
  <c r="AR11" i="24" s="1"/>
  <c r="AR13" i="24" s="1"/>
  <c r="AS10" i="24" s="1"/>
  <c r="AR20" i="24"/>
  <c r="AA28" i="217"/>
  <c r="AA29" i="217" s="1"/>
  <c r="AE50" i="217"/>
  <c r="AF46" i="217" s="1"/>
  <c r="AT29" i="24" l="1"/>
  <c r="AS20" i="24"/>
  <c r="AS19" i="24"/>
  <c r="AS11" i="24" s="1"/>
  <c r="AS13" i="24" s="1"/>
  <c r="AT10" i="24" s="1"/>
  <c r="AF47" i="217"/>
  <c r="AF48" i="217" s="1"/>
  <c r="AA31" i="217"/>
  <c r="AB27" i="217" s="1"/>
  <c r="AT20" i="24" l="1"/>
  <c r="AT19" i="24"/>
  <c r="AT11" i="24" s="1"/>
  <c r="AT13" i="24" s="1"/>
  <c r="AU10" i="24" s="1"/>
  <c r="AU13" i="24" s="1"/>
  <c r="AV10" i="24" s="1"/>
  <c r="AV13" i="24" s="1"/>
  <c r="AW10" i="24" s="1"/>
  <c r="AW13" i="24" s="1"/>
  <c r="AF50" i="217"/>
  <c r="AG46" i="217" s="1"/>
  <c r="AG47" i="217" s="1"/>
  <c r="AG48" i="217" s="1"/>
  <c r="AB28" i="217"/>
  <c r="AB29" i="217" s="1"/>
  <c r="AB31" i="217" l="1"/>
  <c r="AC27" i="217" s="1"/>
  <c r="AC28" i="217" s="1"/>
  <c r="AC29" i="217" s="1"/>
  <c r="AG50" i="217"/>
  <c r="AC31" i="217" l="1"/>
  <c r="AD27" i="217" s="1"/>
  <c r="AD28" i="217" l="1"/>
  <c r="AD29" i="217" s="1"/>
  <c r="AD31" i="217" l="1"/>
  <c r="AE27" i="217" s="1"/>
  <c r="AE28" i="217" l="1"/>
  <c r="AE29" i="217" s="1"/>
  <c r="AE31" i="217" l="1"/>
  <c r="AF27" i="217" s="1"/>
  <c r="AF28" i="217" s="1"/>
  <c r="AF29" i="217" s="1"/>
  <c r="AF31" i="217" l="1"/>
  <c r="AG27" i="217" s="1"/>
  <c r="AG28" i="217" l="1"/>
  <c r="AG29" i="217" s="1"/>
  <c r="AG31" i="217" l="1"/>
</calcChain>
</file>

<file path=xl/sharedStrings.xml><?xml version="1.0" encoding="utf-8"?>
<sst xmlns="http://schemas.openxmlformats.org/spreadsheetml/2006/main" count="467" uniqueCount="216">
  <si>
    <t>Revenue</t>
  </si>
  <si>
    <t>Capacity (MW)</t>
  </si>
  <si>
    <t>Availability</t>
  </si>
  <si>
    <t>Generation (MwH)</t>
  </si>
  <si>
    <t>ASSET PERFORMANCE</t>
  </si>
  <si>
    <t>REVENUE INFORMATION</t>
  </si>
  <si>
    <t>Transmission Cost</t>
  </si>
  <si>
    <t>OPERATING EXPENSES</t>
  </si>
  <si>
    <t>Transmission per MwH</t>
  </si>
  <si>
    <t>NET OPERATING INCOME</t>
  </si>
  <si>
    <t>Capital Expenditures</t>
  </si>
  <si>
    <t>Net Generation</t>
  </si>
  <si>
    <t>Year Number</t>
  </si>
  <si>
    <t>Property Taxes</t>
  </si>
  <si>
    <t>Borrowed Capital</t>
  </si>
  <si>
    <t>New</t>
  </si>
  <si>
    <t>Beginning Balance</t>
  </si>
  <si>
    <t>Ending Balance</t>
  </si>
  <si>
    <t>Principal</t>
  </si>
  <si>
    <t>Interest</t>
  </si>
  <si>
    <t>Balance</t>
  </si>
  <si>
    <t>Payment</t>
  </si>
  <si>
    <t>B</t>
  </si>
  <si>
    <t>Capital Additions</t>
  </si>
  <si>
    <t>Original Depreciable</t>
  </si>
  <si>
    <t>Depreciable Additions</t>
  </si>
  <si>
    <t>DEPRECIABLE BALANCE</t>
  </si>
  <si>
    <t>Depreciation</t>
  </si>
  <si>
    <t>D</t>
  </si>
  <si>
    <t>Calendar Year</t>
  </si>
  <si>
    <t>Revenue Funded Capital</t>
  </si>
  <si>
    <t>Equity</t>
  </si>
  <si>
    <t>EBITDA</t>
  </si>
  <si>
    <t>Debt Service</t>
  </si>
  <si>
    <t>AFTER TAX CASH FLOW</t>
  </si>
  <si>
    <t>NET CASH FLOW</t>
  </si>
  <si>
    <t>CAPITAL EXPENDITURES</t>
  </si>
  <si>
    <t>Grow</t>
  </si>
  <si>
    <t>Revenue per MwH</t>
  </si>
  <si>
    <t>Non Fuel Energy Charge</t>
  </si>
  <si>
    <t>Fixed O&amp;M</t>
  </si>
  <si>
    <t>Variable O&amp;M</t>
  </si>
  <si>
    <t>Fuel Charge</t>
  </si>
  <si>
    <t>Property Tax</t>
  </si>
  <si>
    <t>Fuel</t>
  </si>
  <si>
    <t>Book Depreciation</t>
  </si>
  <si>
    <t>GREC Depreciation Schedule Under a Taxable Ownership Scenario</t>
  </si>
  <si>
    <t>Income Taxes</t>
  </si>
  <si>
    <t>1603 GRANT</t>
  </si>
  <si>
    <t>Reduction and Outages</t>
  </si>
  <si>
    <t>CALC</t>
  </si>
  <si>
    <t>Prepaid Energy</t>
  </si>
  <si>
    <t>Prepayment Calculation</t>
  </si>
  <si>
    <t>Excess Energy Revenue</t>
  </si>
  <si>
    <t>RETAINED EARNINGS / SWAP</t>
  </si>
  <si>
    <t>Growth</t>
  </si>
  <si>
    <t>NPV to GRU</t>
  </si>
  <si>
    <t xml:space="preserve">Total Output Pricing </t>
  </si>
  <si>
    <t>Generation</t>
  </si>
  <si>
    <t>Shortfall</t>
  </si>
  <si>
    <t>Total Debt Service</t>
  </si>
  <si>
    <t>Cost of Issuance</t>
  </si>
  <si>
    <t>Insurance</t>
  </si>
  <si>
    <t>Prepay</t>
  </si>
  <si>
    <t>GRU % equity</t>
  </si>
  <si>
    <t>1603 Grant</t>
  </si>
  <si>
    <t xml:space="preserve">O&amp;M </t>
  </si>
  <si>
    <t>Incl in Avail</t>
  </si>
  <si>
    <t>Equity Share</t>
  </si>
  <si>
    <t>Assumption</t>
  </si>
  <si>
    <t>Starting Balance</t>
  </si>
  <si>
    <t>Prepay Share</t>
  </si>
  <si>
    <t>Generation (MwH) in Prepay</t>
  </si>
  <si>
    <t>Revenue in Pre-pay</t>
  </si>
  <si>
    <t>Prepay Discount</t>
  </si>
  <si>
    <t>Prepaid MwHs</t>
  </si>
  <si>
    <t>Excess MwHs</t>
  </si>
  <si>
    <t xml:space="preserve">REVENUE </t>
  </si>
  <si>
    <t>Interest (Rev Rec)</t>
  </si>
  <si>
    <t>Prepaid Revenue Recognized</t>
  </si>
  <si>
    <t>Excess Energy (MwHs)</t>
  </si>
  <si>
    <t>RECs Revenue</t>
  </si>
  <si>
    <t>RECs</t>
  </si>
  <si>
    <t>Total Revenue</t>
  </si>
  <si>
    <t>Excess energy (per MwH)</t>
  </si>
  <si>
    <t>Total Operating Expense</t>
  </si>
  <si>
    <t>Less Prepaid Revenue</t>
  </si>
  <si>
    <t>Savings to GRU (compared to PPA)</t>
  </si>
  <si>
    <t>In Prepay</t>
  </si>
  <si>
    <t xml:space="preserve">Generation (MwH) </t>
  </si>
  <si>
    <t>Generation (Excess)</t>
  </si>
  <si>
    <t>Administrative Fee</t>
  </si>
  <si>
    <t>O&amp;M LOC Fee</t>
  </si>
  <si>
    <t>Amount</t>
  </si>
  <si>
    <t>Solver Test (X S Power Price)</t>
  </si>
  <si>
    <t>Other expenses</t>
  </si>
  <si>
    <t>Target Generation</t>
  </si>
  <si>
    <t>Scenario Generation</t>
  </si>
  <si>
    <t>Market price of Power</t>
  </si>
  <si>
    <t>Cost of Shortfall Energy</t>
  </si>
  <si>
    <t>Adjustment for Shortfall Energy</t>
  </si>
  <si>
    <t>Total Cost</t>
  </si>
  <si>
    <t>Category</t>
  </si>
  <si>
    <t>Annual Growth</t>
  </si>
  <si>
    <t>Source</t>
  </si>
  <si>
    <t>GRU Update</t>
  </si>
  <si>
    <t>Ongoing O&amp;M</t>
  </si>
  <si>
    <t xml:space="preserve">Insurance </t>
  </si>
  <si>
    <t>Structure of the Buyout</t>
  </si>
  <si>
    <t>% of Structure</t>
  </si>
  <si>
    <t>Composition of the Equity Portion of the Structure</t>
  </si>
  <si>
    <t>% of Equity</t>
  </si>
  <si>
    <t>1603 Grant Amount</t>
  </si>
  <si>
    <t>Prepay Debt</t>
  </si>
  <si>
    <t>Equity Debt</t>
  </si>
  <si>
    <t>Revenue  Recognition</t>
  </si>
  <si>
    <t>Applicable Terms/Amortization</t>
  </si>
  <si>
    <t>Applicable Rates</t>
  </si>
  <si>
    <t>Taxable Debt</t>
  </si>
  <si>
    <t>Tax-Exempt Debt</t>
  </si>
  <si>
    <t>Forecast Expenses</t>
  </si>
  <si>
    <t>NA</t>
  </si>
  <si>
    <t>Estimate of GREC depreciable basis and sequestration reduction</t>
  </si>
  <si>
    <t>Hours in a year</t>
  </si>
  <si>
    <t>Cost</t>
  </si>
  <si>
    <t>GRU discussion (EIA Survey)</t>
  </si>
  <si>
    <t>Market Price of replacement power</t>
  </si>
  <si>
    <t xml:space="preserve">Non Fuel Energy </t>
  </si>
  <si>
    <t>Amount (per MwH)</t>
  </si>
  <si>
    <t>Current PPA Contract</t>
  </si>
  <si>
    <t>Expected Generation</t>
  </si>
  <si>
    <t xml:space="preserve">Based on $7 million </t>
  </si>
  <si>
    <t>Resulting Structure</t>
  </si>
  <si>
    <t>Gross Purchase Price</t>
  </si>
  <si>
    <t>Less: Expected Grant</t>
  </si>
  <si>
    <t>Net Purchase price</t>
  </si>
  <si>
    <t>Equity Breakdown</t>
  </si>
  <si>
    <t>Tax equity %</t>
  </si>
  <si>
    <t>GRU Bond Transactions</t>
  </si>
  <si>
    <t>Prepay Bonds (par)</t>
  </si>
  <si>
    <t>Annual Payment</t>
  </si>
  <si>
    <t>Equity Bonds (par)</t>
  </si>
  <si>
    <t>Line #</t>
  </si>
  <si>
    <t>from Inputs Page</t>
  </si>
  <si>
    <t>Calculation</t>
  </si>
  <si>
    <t>Verification</t>
  </si>
  <si>
    <t>Historical PPA Contract with GREC (Year 1 Cost of Power)</t>
  </si>
  <si>
    <t xml:space="preserve">Line # </t>
  </si>
  <si>
    <t>Avail factor</t>
  </si>
  <si>
    <t>Target Generation, MwHs</t>
  </si>
  <si>
    <t>Shortfall Energy</t>
  </si>
  <si>
    <t>Property Tax Basis (Million)</t>
  </si>
  <si>
    <t>Effective Rate</t>
  </si>
  <si>
    <t>Property tax Per MwH</t>
  </si>
  <si>
    <t>Cost of Replacement Power (MwH)</t>
  </si>
  <si>
    <t>Shortfall Energy (MwH)</t>
  </si>
  <si>
    <t>Cost of Replacement Power ($)</t>
  </si>
  <si>
    <t>Scenario</t>
  </si>
  <si>
    <t>Calc</t>
  </si>
  <si>
    <t>EXPECTED ASSET PERFORMANCE</t>
  </si>
  <si>
    <t>EXPECTED COST INFORMATION</t>
  </si>
  <si>
    <t>SCENARIO ASSET PERFORMANCE</t>
  </si>
  <si>
    <t>Availability (Expected)</t>
  </si>
  <si>
    <t>Generation Assumptions (Expected)</t>
  </si>
  <si>
    <t>Generation Assumptions (Scenario)</t>
  </si>
  <si>
    <t xml:space="preserve">EXPECTED OUTPUT PRICING </t>
  </si>
  <si>
    <t>SCENARIO OUTPUT PRICING SELECTION</t>
  </si>
  <si>
    <t>Availability (Scenario)</t>
  </si>
  <si>
    <t>GREC PPA Cost per MwH</t>
  </si>
  <si>
    <t>Total GREC Cost of Power</t>
  </si>
  <si>
    <t>GREC SCENARIO COST OF POWER</t>
  </si>
  <si>
    <t>SHORTFALL ENERGY COST OF POWER</t>
  </si>
  <si>
    <t>Property tax Per MwH (EXPECTED)</t>
  </si>
  <si>
    <t>Property tax Per MwH (Scenario)</t>
  </si>
  <si>
    <t>Total Cost of Power (Scenario)</t>
  </si>
  <si>
    <t>Purchase Price Calculations</t>
  </si>
  <si>
    <t>Prepay calculations of Cost per MwH (varied availability)</t>
  </si>
  <si>
    <t xml:space="preserve">COST UNDER THE CURRENT PPA </t>
  </si>
  <si>
    <t>Cost (per MwH)</t>
  </si>
  <si>
    <t>Generation Under PPA</t>
  </si>
  <si>
    <t>Total Cost of PPA Energy</t>
  </si>
  <si>
    <t>Total Cost under PPA</t>
  </si>
  <si>
    <t>GRU Ownership Cost</t>
  </si>
  <si>
    <t>Excess Energy</t>
  </si>
  <si>
    <t>PPA Generation (Prepaid)</t>
  </si>
  <si>
    <t>Excess Energy Growth</t>
  </si>
  <si>
    <t>Other Information</t>
  </si>
  <si>
    <t>RECs Price</t>
  </si>
  <si>
    <t>Administrative Fee Growth Rate</t>
  </si>
  <si>
    <t>O&amp;M LOC (GRU Ownership)</t>
  </si>
  <si>
    <t>Required</t>
  </si>
  <si>
    <t>Prepay Bonds Debt Service</t>
  </si>
  <si>
    <t>Equity Bonds Debt Service</t>
  </si>
  <si>
    <t>Revenue Recognition, Conduit Prepay</t>
  </si>
  <si>
    <t xml:space="preserve">GRU PPA Cost </t>
  </si>
  <si>
    <t>Current PPA Cost (Base Case)</t>
  </si>
  <si>
    <t>Property Tax Calculation</t>
  </si>
  <si>
    <t>Year 1</t>
  </si>
  <si>
    <t>Year 1-10</t>
  </si>
  <si>
    <t>30 year</t>
  </si>
  <si>
    <t>RECs growth rate annually</t>
  </si>
  <si>
    <t>Tax calculation</t>
  </si>
  <si>
    <t xml:space="preserve">Property Tax Calculation </t>
  </si>
  <si>
    <t>GRU Ongoing Capital Investment (year 2-30)</t>
  </si>
  <si>
    <t>GREC Ongoing Capital Investment</t>
  </si>
  <si>
    <t>Under GRU Ownership</t>
  </si>
  <si>
    <t xml:space="preserve">Variable O&amp;M </t>
  </si>
  <si>
    <t>Variable O&amp;M GRU</t>
  </si>
  <si>
    <t>Property Tax (ends year 5)</t>
  </si>
  <si>
    <t xml:space="preserve">See "Conduit EBITDA and CF" tab, line 47.  </t>
  </si>
  <si>
    <t xml:space="preserve">Updated Power Costs (some applicable to GRU ownership) </t>
  </si>
  <si>
    <t>Starting Input Value</t>
  </si>
  <si>
    <t>Capital Investment (starts Year 2)</t>
  </si>
  <si>
    <t>Savings Ranges</t>
  </si>
  <si>
    <t>Adjustment</t>
  </si>
  <si>
    <t>Conduit CF target above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</si>
</sst>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_(* #,##0.0_);_(* \(#,##0.0\);_(* &quot;-&quot;??_);_(@_)"/>
    <numFmt numFmtId="168" formatCode="&quot;Prepayment = &quot;#,##0"/>
    <numFmt numFmtId="169" formatCode="&quot;Debt Service on &quot;_(* #,##0_);_(* \(#,##0\);_(* &quot;-&quot;??_);_(@_)"/>
    <numFmt numFmtId="170" formatCode="#\ &quot;years&quot;"/>
    <numFmt numFmtId="171" formatCode="#\ &quot;MWs&quot;"/>
    <numFmt numFmtId="172" formatCode="&quot;Target = &quot;#,##0"/>
    <numFmt numFmtId="173" formatCode="&quot;difference = &quot;#,##0"/>
    <numFmt numFmtId="174" formatCode="0.000000000000000%"/>
    <numFmt numFmtId="175" formatCode="#.00\ &quot;per MwH&quot;"/>
    <numFmt numFmtId="176" formatCode="_(* #,##0.0000_);_(* \(#,##0.0000\);_(* &quot;-&quot;??_);_(@_)"/>
    <numFmt numFmtId="177" formatCode="#,###\ &quot;MwHs&quot;"/>
    <numFmt numFmtId="178" formatCode="#,###\ &quot;hours&quot;"/>
    <numFmt numFmtId="179" formatCode="#.#0\ &quot;per MwH&quot;"/>
    <numFmt numFmtId="180" formatCode="&quot;Average in Pre-Pay&quot;\ 0.0%"/>
    <numFmt numFmtId="181" formatCode="##%\ &quot;Expected Availablity&quot;"/>
    <numFmt numFmtId="182" formatCode="##%\ &quot;Scenario Availability&quot;"/>
    <numFmt numFmtId="183" formatCode="&quot;Average over 30 years = &quot;\ ##%"/>
    <numFmt numFmtId="184" formatCode="#.#00\ &quot;per MwH&quot;"/>
  </numFmts>
  <fonts count="32" x14ac:knownFonts="1">
    <font>
      <sz val="10"/>
      <name val="Garamond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70C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color rgb="FF0070C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singleAccounting"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3" tint="0.39997558519241921"/>
      <name val="Arial"/>
      <family val="2"/>
    </font>
    <font>
      <b/>
      <sz val="11"/>
      <color theme="6" tint="-0.499984740745262"/>
      <name val="Arial"/>
      <family val="2"/>
    </font>
    <font>
      <b/>
      <i/>
      <sz val="10"/>
      <color theme="1"/>
      <name val="Arial"/>
      <family val="2"/>
    </font>
    <font>
      <sz val="8"/>
      <color theme="0"/>
      <name val="Arial"/>
      <family val="2"/>
    </font>
    <font>
      <b/>
      <u val="singleAccounting"/>
      <sz val="8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0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9" fontId="12" fillId="0" borderId="0" xfId="2" applyFont="1" applyAlignment="1">
      <alignment horizontal="center"/>
    </xf>
    <xf numFmtId="0" fontId="13" fillId="0" borderId="0" xfId="0" applyFont="1"/>
    <xf numFmtId="10" fontId="12" fillId="0" borderId="0" xfId="2" applyNumberFormat="1" applyFont="1" applyAlignment="1">
      <alignment horizontal="center"/>
    </xf>
    <xf numFmtId="164" fontId="12" fillId="0" borderId="0" xfId="1" applyNumberFormat="1" applyFont="1"/>
    <xf numFmtId="37" fontId="12" fillId="0" borderId="0" xfId="1" applyNumberFormat="1" applyFont="1" applyAlignment="1">
      <alignment horizontal="center"/>
    </xf>
    <xf numFmtId="0" fontId="14" fillId="0" borderId="0" xfId="0" applyFont="1"/>
    <xf numFmtId="164" fontId="12" fillId="0" borderId="0" xfId="0" applyNumberFormat="1" applyFont="1"/>
    <xf numFmtId="164" fontId="12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9" fontId="15" fillId="0" borderId="0" xfId="2" applyFont="1" applyAlignment="1">
      <alignment horizontal="center"/>
    </xf>
    <xf numFmtId="10" fontId="15" fillId="0" borderId="0" xfId="2" applyNumberFormat="1" applyFont="1" applyAlignment="1">
      <alignment horizontal="center"/>
    </xf>
    <xf numFmtId="164" fontId="15" fillId="0" borderId="0" xfId="1" applyNumberFormat="1" applyFont="1"/>
    <xf numFmtId="2" fontId="15" fillId="0" borderId="0" xfId="0" applyNumberFormat="1" applyFont="1" applyAlignment="1">
      <alignment horizontal="center"/>
    </xf>
    <xf numFmtId="167" fontId="12" fillId="0" borderId="0" xfId="1" applyNumberFormat="1" applyFont="1"/>
    <xf numFmtId="0" fontId="13" fillId="2" borderId="0" xfId="0" applyFont="1" applyFill="1"/>
    <xf numFmtId="0" fontId="12" fillId="2" borderId="0" xfId="0" applyFont="1" applyFill="1"/>
    <xf numFmtId="2" fontId="12" fillId="2" borderId="0" xfId="0" applyNumberFormat="1" applyFont="1" applyFill="1" applyAlignment="1">
      <alignment horizontal="center"/>
    </xf>
    <xf numFmtId="164" fontId="12" fillId="2" borderId="0" xfId="1" applyNumberFormat="1" applyFont="1" applyFill="1"/>
    <xf numFmtId="0" fontId="12" fillId="0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horizontal="center"/>
    </xf>
    <xf numFmtId="10" fontId="12" fillId="0" borderId="0" xfId="2" applyNumberFormat="1" applyFont="1"/>
    <xf numFmtId="2" fontId="15" fillId="0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164" fontId="18" fillId="0" borderId="0" xfId="1" applyNumberFormat="1" applyFont="1"/>
    <xf numFmtId="164" fontId="16" fillId="0" borderId="0" xfId="1" applyNumberFormat="1" applyFont="1"/>
    <xf numFmtId="10" fontId="16" fillId="0" borderId="0" xfId="2" applyNumberFormat="1" applyFont="1" applyAlignment="1">
      <alignment horizontal="center"/>
    </xf>
    <xf numFmtId="0" fontId="17" fillId="2" borderId="0" xfId="0" applyFont="1" applyFill="1"/>
    <xf numFmtId="164" fontId="16" fillId="2" borderId="0" xfId="1" applyNumberFormat="1" applyFont="1" applyFill="1"/>
    <xf numFmtId="164" fontId="16" fillId="0" borderId="0" xfId="1" applyNumberFormat="1" applyFont="1" applyAlignment="1">
      <alignment horizontal="center"/>
    </xf>
    <xf numFmtId="164" fontId="16" fillId="0" borderId="0" xfId="0" applyNumberFormat="1" applyFont="1"/>
    <xf numFmtId="164" fontId="13" fillId="0" borderId="0" xfId="0" applyNumberFormat="1" applyFont="1"/>
    <xf numFmtId="43" fontId="12" fillId="0" borderId="0" xfId="1" applyFont="1"/>
    <xf numFmtId="168" fontId="13" fillId="4" borderId="1" xfId="1" applyNumberFormat="1" applyFont="1" applyFill="1" applyBorder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66" fontId="15" fillId="0" borderId="0" xfId="2" applyNumberFormat="1" applyFont="1" applyAlignment="1">
      <alignment horizontal="center"/>
    </xf>
    <xf numFmtId="0" fontId="13" fillId="2" borderId="0" xfId="0" applyFont="1" applyFill="1" applyAlignment="1">
      <alignment horizontal="center"/>
    </xf>
    <xf numFmtId="165" fontId="15" fillId="0" borderId="0" xfId="2" applyNumberFormat="1" applyFont="1" applyAlignment="1">
      <alignment horizontal="center"/>
    </xf>
    <xf numFmtId="8" fontId="12" fillId="0" borderId="0" xfId="0" applyNumberFormat="1" applyFont="1"/>
    <xf numFmtId="164" fontId="12" fillId="0" borderId="0" xfId="2" applyNumberFormat="1" applyFont="1" applyAlignment="1">
      <alignment horizontal="center"/>
    </xf>
    <xf numFmtId="43" fontId="12" fillId="0" borderId="0" xfId="0" applyNumberFormat="1" applyFont="1"/>
    <xf numFmtId="2" fontId="12" fillId="0" borderId="0" xfId="0" applyNumberFormat="1" applyFont="1"/>
    <xf numFmtId="43" fontId="12" fillId="0" borderId="0" xfId="1" applyFont="1" applyAlignment="1">
      <alignment horizontal="center"/>
    </xf>
    <xf numFmtId="9" fontId="12" fillId="2" borderId="0" xfId="0" applyNumberFormat="1" applyFont="1" applyFill="1"/>
    <xf numFmtId="2" fontId="19" fillId="0" borderId="0" xfId="0" applyNumberFormat="1" applyFont="1" applyAlignment="1">
      <alignment horizontal="center"/>
    </xf>
    <xf numFmtId="39" fontId="12" fillId="0" borderId="0" xfId="1" applyNumberFormat="1" applyFont="1" applyAlignment="1">
      <alignment horizontal="center"/>
    </xf>
    <xf numFmtId="43" fontId="15" fillId="0" borderId="0" xfId="1" applyFont="1" applyAlignment="1">
      <alignment horizontal="center"/>
    </xf>
    <xf numFmtId="4" fontId="15" fillId="0" borderId="0" xfId="1" applyNumberFormat="1" applyFont="1" applyAlignment="1">
      <alignment horizontal="center"/>
    </xf>
    <xf numFmtId="4" fontId="15" fillId="0" borderId="0" xfId="1" applyNumberFormat="1" applyFont="1" applyFill="1" applyAlignment="1">
      <alignment horizontal="center"/>
    </xf>
    <xf numFmtId="4" fontId="21" fillId="0" borderId="0" xfId="1" applyNumberFormat="1" applyFont="1" applyAlignment="1">
      <alignment horizontal="center"/>
    </xf>
    <xf numFmtId="164" fontId="20" fillId="0" borderId="0" xfId="0" applyNumberFormat="1" applyFont="1"/>
    <xf numFmtId="0" fontId="12" fillId="0" borderId="0" xfId="0" applyFont="1" applyBorder="1"/>
    <xf numFmtId="164" fontId="20" fillId="0" borderId="0" xfId="1" applyNumberFormat="1" applyFont="1"/>
    <xf numFmtId="0" fontId="12" fillId="0" borderId="0" xfId="0" applyFont="1" applyAlignment="1">
      <alignment horizontal="center"/>
    </xf>
    <xf numFmtId="164" fontId="15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5" fillId="0" borderId="0" xfId="1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0" fontId="6" fillId="0" borderId="0" xfId="14"/>
    <xf numFmtId="0" fontId="6" fillId="0" borderId="9" xfId="14" applyBorder="1"/>
    <xf numFmtId="171" fontId="15" fillId="0" borderId="0" xfId="0" applyNumberFormat="1" applyFont="1" applyAlignment="1">
      <alignment horizontal="center"/>
    </xf>
    <xf numFmtId="0" fontId="22" fillId="7" borderId="2" xfId="14" applyFont="1" applyFill="1" applyBorder="1"/>
    <xf numFmtId="171" fontId="6" fillId="0" borderId="0" xfId="14" applyNumberFormat="1" applyBorder="1"/>
    <xf numFmtId="39" fontId="19" fillId="0" borderId="0" xfId="1" applyNumberFormat="1" applyFont="1" applyAlignment="1">
      <alignment horizontal="center"/>
    </xf>
    <xf numFmtId="0" fontId="12" fillId="0" borderId="0" xfId="0" applyFont="1" applyAlignment="1">
      <alignment horizontal="left" indent="2"/>
    </xf>
    <xf numFmtId="0" fontId="13" fillId="0" borderId="0" xfId="0" applyFont="1" applyAlignment="1">
      <alignment horizontal="left"/>
    </xf>
    <xf numFmtId="164" fontId="13" fillId="0" borderId="0" xfId="1" applyNumberFormat="1" applyFont="1"/>
    <xf numFmtId="2" fontId="7" fillId="0" borderId="0" xfId="0" applyNumberFormat="1" applyFont="1" applyAlignment="1">
      <alignment horizontal="center"/>
    </xf>
    <xf numFmtId="37" fontId="15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/>
    </xf>
    <xf numFmtId="37" fontId="7" fillId="0" borderId="0" xfId="0" applyNumberFormat="1" applyFont="1" applyFill="1" applyAlignment="1">
      <alignment horizontal="center"/>
    </xf>
    <xf numFmtId="37" fontId="19" fillId="0" borderId="0" xfId="0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9" fontId="12" fillId="0" borderId="0" xfId="0" applyNumberFormat="1" applyFont="1" applyFill="1"/>
    <xf numFmtId="3" fontId="7" fillId="0" borderId="0" xfId="1" applyNumberFormat="1" applyFont="1" applyAlignment="1">
      <alignment horizontal="center"/>
    </xf>
    <xf numFmtId="3" fontId="19" fillId="0" borderId="0" xfId="1" applyNumberFormat="1" applyFont="1" applyFill="1" applyAlignment="1">
      <alignment horizontal="center"/>
    </xf>
    <xf numFmtId="3" fontId="13" fillId="0" borderId="0" xfId="1" applyNumberFormat="1" applyFont="1" applyAlignment="1">
      <alignment horizontal="center"/>
    </xf>
    <xf numFmtId="3" fontId="21" fillId="0" borderId="0" xfId="1" applyNumberFormat="1" applyFont="1" applyAlignment="1">
      <alignment horizontal="center"/>
    </xf>
    <xf numFmtId="6" fontId="13" fillId="6" borderId="3" xfId="0" applyNumberFormat="1" applyFont="1" applyFill="1" applyBorder="1" applyAlignment="1">
      <alignment horizontal="center"/>
    </xf>
    <xf numFmtId="169" fontId="7" fillId="0" borderId="0" xfId="1" applyNumberFormat="1" applyFont="1" applyAlignment="1"/>
    <xf numFmtId="164" fontId="7" fillId="0" borderId="0" xfId="1" applyNumberFormat="1" applyFont="1"/>
    <xf numFmtId="164" fontId="25" fillId="0" borderId="0" xfId="1" applyNumberFormat="1" applyFont="1"/>
    <xf numFmtId="39" fontId="19" fillId="8" borderId="0" xfId="1" applyNumberFormat="1" applyFont="1" applyFill="1" applyAlignment="1">
      <alignment horizontal="center"/>
    </xf>
    <xf numFmtId="164" fontId="12" fillId="9" borderId="8" xfId="1" applyNumberFormat="1" applyFont="1" applyFill="1" applyBorder="1"/>
    <xf numFmtId="164" fontId="12" fillId="9" borderId="10" xfId="1" applyNumberFormat="1" applyFont="1" applyFill="1" applyBorder="1"/>
    <xf numFmtId="164" fontId="12" fillId="9" borderId="13" xfId="1" applyNumberFormat="1" applyFont="1" applyFill="1" applyBorder="1"/>
    <xf numFmtId="0" fontId="13" fillId="0" borderId="11" xfId="0" applyFont="1" applyBorder="1" applyAlignment="1">
      <alignment horizontal="center"/>
    </xf>
    <xf numFmtId="0" fontId="7" fillId="0" borderId="0" xfId="0" applyFont="1"/>
    <xf numFmtId="3" fontId="19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37" fontId="19" fillId="0" borderId="0" xfId="0" applyNumberFormat="1" applyFont="1" applyFill="1" applyAlignment="1">
      <alignment horizontal="center"/>
    </xf>
    <xf numFmtId="176" fontId="12" fillId="0" borderId="0" xfId="0" applyNumberFormat="1" applyFont="1" applyAlignment="1">
      <alignment horizontal="center"/>
    </xf>
    <xf numFmtId="0" fontId="22" fillId="6" borderId="0" xfId="14" applyFont="1" applyFill="1" applyBorder="1" applyAlignment="1">
      <alignment horizontal="center"/>
    </xf>
    <xf numFmtId="0" fontId="22" fillId="6" borderId="9" xfId="14" applyFont="1" applyFill="1" applyBorder="1" applyAlignment="1">
      <alignment horizontal="center"/>
    </xf>
    <xf numFmtId="0" fontId="22" fillId="6" borderId="10" xfId="14" applyFont="1" applyFill="1" applyBorder="1" applyAlignment="1">
      <alignment horizontal="center"/>
    </xf>
    <xf numFmtId="0" fontId="6" fillId="5" borderId="6" xfId="14" applyFont="1" applyFill="1" applyBorder="1"/>
    <xf numFmtId="164" fontId="7" fillId="5" borderId="7" xfId="15" applyNumberFormat="1" applyFont="1" applyFill="1" applyBorder="1"/>
    <xf numFmtId="0" fontId="6" fillId="5" borderId="8" xfId="14" applyFont="1" applyFill="1" applyBorder="1"/>
    <xf numFmtId="0" fontId="6" fillId="5" borderId="9" xfId="14" applyFont="1" applyFill="1" applyBorder="1"/>
    <xf numFmtId="164" fontId="7" fillId="5" borderId="0" xfId="15" applyNumberFormat="1" applyFont="1" applyFill="1" applyBorder="1"/>
    <xf numFmtId="0" fontId="6" fillId="5" borderId="10" xfId="14" applyFont="1" applyFill="1" applyBorder="1"/>
    <xf numFmtId="0" fontId="6" fillId="5" borderId="11" xfId="14" applyFont="1" applyFill="1" applyBorder="1"/>
    <xf numFmtId="164" fontId="7" fillId="5" borderId="12" xfId="15" applyNumberFormat="1" applyFont="1" applyFill="1" applyBorder="1"/>
    <xf numFmtId="10" fontId="6" fillId="5" borderId="13" xfId="14" applyNumberFormat="1" applyFont="1" applyFill="1" applyBorder="1"/>
    <xf numFmtId="9" fontId="6" fillId="5" borderId="0" xfId="14" applyNumberFormat="1" applyFont="1" applyFill="1" applyBorder="1"/>
    <xf numFmtId="0" fontId="6" fillId="5" borderId="0" xfId="14" applyFont="1" applyFill="1" applyBorder="1"/>
    <xf numFmtId="9" fontId="23" fillId="5" borderId="0" xfId="14" applyNumberFormat="1" applyFont="1" applyFill="1" applyBorder="1"/>
    <xf numFmtId="9" fontId="6" fillId="5" borderId="12" xfId="14" applyNumberFormat="1" applyFont="1" applyFill="1" applyBorder="1"/>
    <xf numFmtId="0" fontId="6" fillId="5" borderId="12" xfId="14" applyFont="1" applyFill="1" applyBorder="1"/>
    <xf numFmtId="0" fontId="6" fillId="5" borderId="13" xfId="14" applyFont="1" applyFill="1" applyBorder="1"/>
    <xf numFmtId="9" fontId="7" fillId="5" borderId="0" xfId="16" applyFont="1" applyFill="1" applyBorder="1"/>
    <xf numFmtId="9" fontId="23" fillId="5" borderId="0" xfId="16" applyFont="1" applyFill="1" applyBorder="1"/>
    <xf numFmtId="9" fontId="7" fillId="5" borderId="12" xfId="16" applyFont="1" applyFill="1" applyBorder="1"/>
    <xf numFmtId="0" fontId="6" fillId="5" borderId="0" xfId="14" applyFont="1" applyFill="1"/>
    <xf numFmtId="9" fontId="6" fillId="5" borderId="0" xfId="14" applyNumberFormat="1" applyFont="1" applyFill="1"/>
    <xf numFmtId="170" fontId="6" fillId="5" borderId="10" xfId="14" applyNumberFormat="1" applyFont="1" applyFill="1" applyBorder="1"/>
    <xf numFmtId="170" fontId="6" fillId="5" borderId="13" xfId="14" applyNumberFormat="1" applyFont="1" applyFill="1" applyBorder="1"/>
    <xf numFmtId="10" fontId="6" fillId="5" borderId="10" xfId="14" applyNumberFormat="1" applyFont="1" applyFill="1" applyBorder="1"/>
    <xf numFmtId="10" fontId="6" fillId="5" borderId="10" xfId="2" applyNumberFormat="1" applyFont="1" applyFill="1" applyBorder="1"/>
    <xf numFmtId="0" fontId="6" fillId="5" borderId="0" xfId="14" applyFill="1"/>
    <xf numFmtId="10" fontId="6" fillId="5" borderId="0" xfId="14" applyNumberFormat="1" applyFont="1" applyFill="1" applyBorder="1" applyAlignment="1">
      <alignment horizontal="center"/>
    </xf>
    <xf numFmtId="10" fontId="6" fillId="5" borderId="12" xfId="14" applyNumberFormat="1" applyFont="1" applyFill="1" applyBorder="1" applyAlignment="1">
      <alignment horizontal="center"/>
    </xf>
    <xf numFmtId="0" fontId="6" fillId="5" borderId="7" xfId="14" applyFont="1" applyFill="1" applyBorder="1" applyAlignment="1">
      <alignment horizontal="center"/>
    </xf>
    <xf numFmtId="0" fontId="22" fillId="6" borderId="11" xfId="14" applyFont="1" applyFill="1" applyBorder="1" applyAlignment="1">
      <alignment horizontal="center"/>
    </xf>
    <xf numFmtId="0" fontId="22" fillId="6" borderId="12" xfId="14" applyFont="1" applyFill="1" applyBorder="1" applyAlignment="1">
      <alignment horizontal="center"/>
    </xf>
    <xf numFmtId="0" fontId="22" fillId="6" borderId="13" xfId="14" applyFont="1" applyFill="1" applyBorder="1" applyAlignment="1">
      <alignment horizontal="center"/>
    </xf>
    <xf numFmtId="0" fontId="6" fillId="5" borderId="12" xfId="14" applyFill="1" applyBorder="1"/>
    <xf numFmtId="171" fontId="6" fillId="5" borderId="10" xfId="14" applyNumberFormat="1" applyFont="1" applyFill="1" applyBorder="1"/>
    <xf numFmtId="0" fontId="7" fillId="5" borderId="9" xfId="14" applyFont="1" applyFill="1" applyBorder="1"/>
    <xf numFmtId="0" fontId="7" fillId="5" borderId="11" xfId="14" applyFont="1" applyFill="1" applyBorder="1"/>
    <xf numFmtId="178" fontId="5" fillId="5" borderId="10" xfId="1" applyNumberFormat="1" applyFont="1" applyFill="1" applyBorder="1"/>
    <xf numFmtId="0" fontId="7" fillId="5" borderId="6" xfId="14" applyFont="1" applyFill="1" applyBorder="1"/>
    <xf numFmtId="2" fontId="15" fillId="5" borderId="7" xfId="14" applyNumberFormat="1" applyFont="1" applyFill="1" applyBorder="1" applyAlignment="1">
      <alignment horizontal="center"/>
    </xf>
    <xf numFmtId="0" fontId="6" fillId="5" borderId="7" xfId="14" applyFill="1" applyBorder="1"/>
    <xf numFmtId="2" fontId="15" fillId="5" borderId="0" xfId="14" applyNumberFormat="1" applyFont="1" applyFill="1" applyBorder="1" applyAlignment="1">
      <alignment horizontal="center"/>
    </xf>
    <xf numFmtId="0" fontId="6" fillId="5" borderId="0" xfId="14" applyFill="1" applyBorder="1"/>
    <xf numFmtId="2" fontId="15" fillId="5" borderId="12" xfId="14" applyNumberFormat="1" applyFont="1" applyFill="1" applyBorder="1" applyAlignment="1">
      <alignment horizontal="center"/>
    </xf>
    <xf numFmtId="2" fontId="22" fillId="7" borderId="4" xfId="14" applyNumberFormat="1" applyFont="1" applyFill="1" applyBorder="1" applyAlignment="1">
      <alignment horizontal="center"/>
    </xf>
    <xf numFmtId="2" fontId="22" fillId="7" borderId="12" xfId="14" applyNumberFormat="1" applyFont="1" applyFill="1" applyBorder="1" applyAlignment="1">
      <alignment horizontal="center"/>
    </xf>
    <xf numFmtId="0" fontId="6" fillId="5" borderId="8" xfId="14" applyFill="1" applyBorder="1"/>
    <xf numFmtId="0" fontId="6" fillId="5" borderId="10" xfId="14" applyFill="1" applyBorder="1"/>
    <xf numFmtId="0" fontId="6" fillId="5" borderId="13" xfId="14" applyFill="1" applyBorder="1"/>
    <xf numFmtId="0" fontId="6" fillId="7" borderId="4" xfId="14" applyFill="1" applyBorder="1"/>
    <xf numFmtId="0" fontId="6" fillId="7" borderId="3" xfId="14" applyFill="1" applyBorder="1"/>
    <xf numFmtId="0" fontId="6" fillId="5" borderId="7" xfId="14" applyFill="1" applyBorder="1" applyAlignment="1">
      <alignment horizontal="center"/>
    </xf>
    <xf numFmtId="0" fontId="6" fillId="5" borderId="0" xfId="14" applyFill="1" applyBorder="1" applyAlignment="1">
      <alignment horizontal="center"/>
    </xf>
    <xf numFmtId="10" fontId="6" fillId="5" borderId="0" xfId="14" applyNumberFormat="1" applyFill="1" applyBorder="1" applyAlignment="1">
      <alignment horizontal="center"/>
    </xf>
    <xf numFmtId="10" fontId="6" fillId="5" borderId="12" xfId="14" applyNumberFormat="1" applyFill="1" applyBorder="1" applyAlignment="1">
      <alignment horizontal="center"/>
    </xf>
    <xf numFmtId="0" fontId="6" fillId="10" borderId="0" xfId="14" applyFill="1"/>
    <xf numFmtId="164" fontId="6" fillId="5" borderId="0" xfId="14" applyNumberFormat="1" applyFill="1" applyBorder="1"/>
    <xf numFmtId="164" fontId="26" fillId="5" borderId="0" xfId="1" applyNumberFormat="1" applyFont="1" applyFill="1" applyBorder="1" applyAlignment="1">
      <alignment horizontal="center"/>
    </xf>
    <xf numFmtId="164" fontId="24" fillId="5" borderId="0" xfId="1" applyNumberFormat="1" applyFont="1" applyFill="1" applyBorder="1" applyAlignment="1">
      <alignment horizontal="center"/>
    </xf>
    <xf numFmtId="164" fontId="6" fillId="5" borderId="0" xfId="14" applyNumberFormat="1" applyFill="1" applyBorder="1" applyAlignment="1">
      <alignment horizontal="center"/>
    </xf>
    <xf numFmtId="164" fontId="24" fillId="5" borderId="0" xfId="14" applyNumberFormat="1" applyFont="1" applyFill="1" applyBorder="1" applyAlignment="1">
      <alignment horizontal="center"/>
    </xf>
    <xf numFmtId="164" fontId="24" fillId="5" borderId="0" xfId="14" applyNumberFormat="1" applyFont="1" applyFill="1" applyBorder="1"/>
    <xf numFmtId="0" fontId="22" fillId="5" borderId="0" xfId="14" applyFont="1" applyFill="1" applyAlignment="1">
      <alignment horizontal="center"/>
    </xf>
    <xf numFmtId="0" fontId="22" fillId="5" borderId="0" xfId="14" applyFont="1" applyFill="1"/>
    <xf numFmtId="164" fontId="6" fillId="5" borderId="0" xfId="1" applyNumberFormat="1" applyFont="1" applyFill="1" applyBorder="1"/>
    <xf numFmtId="164" fontId="6" fillId="5" borderId="12" xfId="1" applyNumberFormat="1" applyFont="1" applyFill="1" applyBorder="1"/>
    <xf numFmtId="177" fontId="6" fillId="5" borderId="0" xfId="1" applyNumberFormat="1" applyFont="1" applyFill="1" applyBorder="1"/>
    <xf numFmtId="9" fontId="6" fillId="5" borderId="7" xfId="14" applyNumberFormat="1" applyFill="1" applyBorder="1" applyAlignment="1">
      <alignment horizontal="center"/>
    </xf>
    <xf numFmtId="9" fontId="6" fillId="5" borderId="0" xfId="14" applyNumberFormat="1" applyFill="1" applyBorder="1" applyAlignment="1">
      <alignment horizontal="center"/>
    </xf>
    <xf numFmtId="1" fontId="12" fillId="0" borderId="0" xfId="0" applyNumberFormat="1" applyFont="1"/>
    <xf numFmtId="177" fontId="6" fillId="5" borderId="13" xfId="1" applyNumberFormat="1" applyFont="1" applyFill="1" applyBorder="1"/>
    <xf numFmtId="0" fontId="6" fillId="5" borderId="7" xfId="14" applyFont="1" applyFill="1" applyBorder="1" applyAlignment="1">
      <alignment wrapText="1"/>
    </xf>
    <xf numFmtId="177" fontId="6" fillId="5" borderId="7" xfId="1" applyNumberFormat="1" applyFont="1" applyFill="1" applyBorder="1"/>
    <xf numFmtId="10" fontId="27" fillId="0" borderId="0" xfId="2" applyNumberFormat="1" applyFont="1" applyAlignment="1">
      <alignment vertical="center" wrapText="1"/>
    </xf>
    <xf numFmtId="0" fontId="13" fillId="6" borderId="0" xfId="0" applyFont="1" applyFill="1"/>
    <xf numFmtId="0" fontId="12" fillId="6" borderId="0" xfId="0" applyFont="1" applyFill="1"/>
    <xf numFmtId="2" fontId="12" fillId="6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22" fillId="7" borderId="11" xfId="14" applyFont="1" applyFill="1" applyBorder="1"/>
    <xf numFmtId="0" fontId="6" fillId="7" borderId="12" xfId="14" applyFill="1" applyBorder="1"/>
    <xf numFmtId="0" fontId="6" fillId="7" borderId="13" xfId="14" applyFill="1" applyBorder="1"/>
    <xf numFmtId="0" fontId="22" fillId="6" borderId="12" xfId="14" applyFont="1" applyFill="1" applyBorder="1" applyAlignment="1">
      <alignment horizontal="center" wrapText="1"/>
    </xf>
    <xf numFmtId="0" fontId="22" fillId="6" borderId="13" xfId="14" applyFont="1" applyFill="1" applyBorder="1" applyAlignment="1">
      <alignment horizontal="center" wrapText="1"/>
    </xf>
    <xf numFmtId="2" fontId="6" fillId="5" borderId="8" xfId="14" applyNumberFormat="1" applyFill="1" applyBorder="1" applyAlignment="1">
      <alignment horizontal="center"/>
    </xf>
    <xf numFmtId="2" fontId="6" fillId="5" borderId="10" xfId="14" applyNumberFormat="1" applyFill="1" applyBorder="1" applyAlignment="1">
      <alignment horizontal="center"/>
    </xf>
    <xf numFmtId="2" fontId="6" fillId="5" borderId="13" xfId="14" applyNumberFormat="1" applyFill="1" applyBorder="1" applyAlignment="1">
      <alignment horizontal="center"/>
    </xf>
    <xf numFmtId="1" fontId="12" fillId="0" borderId="0" xfId="0" applyNumberFormat="1" applyFont="1" applyFill="1"/>
    <xf numFmtId="164" fontId="12" fillId="0" borderId="0" xfId="1" applyNumberFormat="1" applyFont="1" applyFill="1"/>
    <xf numFmtId="43" fontId="12" fillId="0" borderId="0" xfId="0" applyNumberFormat="1" applyFont="1" applyFill="1"/>
    <xf numFmtId="0" fontId="13" fillId="11" borderId="0" xfId="0" applyFont="1" applyFill="1" applyAlignment="1">
      <alignment horizontal="left"/>
    </xf>
    <xf numFmtId="0" fontId="12" fillId="11" borderId="0" xfId="0" applyFont="1" applyFill="1"/>
    <xf numFmtId="0" fontId="12" fillId="11" borderId="0" xfId="0" applyFont="1" applyFill="1" applyAlignment="1">
      <alignment horizontal="center"/>
    </xf>
    <xf numFmtId="164" fontId="6" fillId="5" borderId="0" xfId="14" applyNumberFormat="1" applyFill="1"/>
    <xf numFmtId="10" fontId="22" fillId="5" borderId="0" xfId="2" applyNumberFormat="1" applyFont="1" applyFill="1" applyAlignment="1">
      <alignment horizontal="center"/>
    </xf>
    <xf numFmtId="164" fontId="22" fillId="5" borderId="0" xfId="2" applyNumberFormat="1" applyFont="1" applyFill="1" applyAlignment="1">
      <alignment horizontal="center"/>
    </xf>
    <xf numFmtId="179" fontId="15" fillId="0" borderId="0" xfId="1" applyNumberFormat="1" applyFont="1" applyAlignment="1">
      <alignment horizontal="center"/>
    </xf>
    <xf numFmtId="10" fontId="15" fillId="0" borderId="0" xfId="2" applyNumberFormat="1" applyFont="1" applyAlignment="1">
      <alignment horizontal="right"/>
    </xf>
    <xf numFmtId="10" fontId="16" fillId="0" borderId="0" xfId="2" applyNumberFormat="1" applyFont="1"/>
    <xf numFmtId="0" fontId="6" fillId="5" borderId="10" xfId="14" applyFill="1" applyBorder="1" applyAlignment="1">
      <alignment horizontal="center"/>
    </xf>
    <xf numFmtId="10" fontId="6" fillId="5" borderId="10" xfId="14" applyNumberFormat="1" applyFill="1" applyBorder="1" applyAlignment="1">
      <alignment horizontal="center"/>
    </xf>
    <xf numFmtId="164" fontId="6" fillId="5" borderId="10" xfId="1" applyNumberFormat="1" applyFont="1" applyFill="1" applyBorder="1"/>
    <xf numFmtId="0" fontId="7" fillId="5" borderId="0" xfId="14" applyFont="1" applyFill="1" applyBorder="1"/>
    <xf numFmtId="9" fontId="7" fillId="5" borderId="6" xfId="2" applyNumberFormat="1" applyFont="1" applyFill="1" applyBorder="1" applyAlignment="1">
      <alignment horizontal="center"/>
    </xf>
    <xf numFmtId="37" fontId="7" fillId="5" borderId="7" xfId="1" applyNumberFormat="1" applyFont="1" applyFill="1" applyBorder="1" applyAlignment="1">
      <alignment horizontal="center"/>
    </xf>
    <xf numFmtId="2" fontId="6" fillId="5" borderId="7" xfId="14" applyNumberFormat="1" applyFill="1" applyBorder="1" applyAlignment="1">
      <alignment horizontal="center"/>
    </xf>
    <xf numFmtId="9" fontId="7" fillId="5" borderId="9" xfId="2" applyNumberFormat="1" applyFont="1" applyFill="1" applyBorder="1" applyAlignment="1">
      <alignment horizontal="center"/>
    </xf>
    <xf numFmtId="37" fontId="7" fillId="5" borderId="0" xfId="1" applyNumberFormat="1" applyFont="1" applyFill="1" applyBorder="1" applyAlignment="1">
      <alignment horizontal="center"/>
    </xf>
    <xf numFmtId="2" fontId="6" fillId="5" borderId="0" xfId="14" applyNumberFormat="1" applyFill="1" applyBorder="1" applyAlignment="1">
      <alignment horizontal="center"/>
    </xf>
    <xf numFmtId="9" fontId="7" fillId="5" borderId="11" xfId="2" applyNumberFormat="1" applyFont="1" applyFill="1" applyBorder="1" applyAlignment="1">
      <alignment horizontal="center"/>
    </xf>
    <xf numFmtId="37" fontId="7" fillId="5" borderId="12" xfId="1" applyNumberFormat="1" applyFont="1" applyFill="1" applyBorder="1" applyAlignment="1">
      <alignment horizontal="center"/>
    </xf>
    <xf numFmtId="2" fontId="6" fillId="5" borderId="12" xfId="14" applyNumberFormat="1" applyFill="1" applyBorder="1" applyAlignment="1">
      <alignment horizontal="center"/>
    </xf>
    <xf numFmtId="175" fontId="6" fillId="5" borderId="8" xfId="14" applyNumberFormat="1" applyFill="1" applyBorder="1"/>
    <xf numFmtId="9" fontId="6" fillId="5" borderId="0" xfId="2" applyFont="1" applyFill="1" applyBorder="1"/>
    <xf numFmtId="170" fontId="6" fillId="5" borderId="0" xfId="14" applyNumberFormat="1" applyFill="1" applyBorder="1"/>
    <xf numFmtId="10" fontId="6" fillId="5" borderId="0" xfId="14" applyNumberFormat="1" applyFill="1"/>
    <xf numFmtId="164" fontId="6" fillId="5" borderId="0" xfId="1" applyNumberFormat="1" applyFont="1" applyFill="1"/>
    <xf numFmtId="164" fontId="24" fillId="5" borderId="0" xfId="1" applyNumberFormat="1" applyFont="1" applyFill="1"/>
    <xf numFmtId="0" fontId="28" fillId="5" borderId="9" xfId="14" applyFont="1" applyFill="1" applyBorder="1"/>
    <xf numFmtId="0" fontId="28" fillId="5" borderId="0" xfId="14" applyFont="1" applyFill="1" applyBorder="1"/>
    <xf numFmtId="0" fontId="22" fillId="5" borderId="0" xfId="14" applyFont="1" applyFill="1" applyAlignment="1">
      <alignment horizontal="left"/>
    </xf>
    <xf numFmtId="0" fontId="12" fillId="5" borderId="0" xfId="0" applyFont="1" applyFill="1"/>
    <xf numFmtId="182" fontId="12" fillId="0" borderId="0" xfId="0" applyNumberFormat="1" applyFont="1" applyFill="1" applyAlignment="1">
      <alignment horizontal="center"/>
    </xf>
    <xf numFmtId="164" fontId="6" fillId="5" borderId="13" xfId="1" applyNumberFormat="1" applyFont="1" applyFill="1" applyBorder="1"/>
    <xf numFmtId="0" fontId="12" fillId="0" borderId="0" xfId="0" applyFont="1" applyFill="1" applyAlignment="1">
      <alignment horizontal="center"/>
    </xf>
    <xf numFmtId="8" fontId="12" fillId="0" borderId="0" xfId="0" applyNumberFormat="1" applyFont="1" applyFill="1"/>
    <xf numFmtId="9" fontId="12" fillId="0" borderId="0" xfId="2" applyFont="1" applyFill="1" applyAlignment="1">
      <alignment horizontal="center"/>
    </xf>
    <xf numFmtId="0" fontId="7" fillId="5" borderId="0" xfId="14" applyFont="1" applyFill="1" applyBorder="1" applyAlignment="1">
      <alignment vertical="top" wrapText="1"/>
    </xf>
    <xf numFmtId="183" fontId="13" fillId="0" borderId="0" xfId="0" applyNumberFormat="1" applyFont="1" applyAlignment="1">
      <alignment horizontal="center"/>
    </xf>
    <xf numFmtId="0" fontId="4" fillId="5" borderId="9" xfId="14" applyFont="1" applyFill="1" applyBorder="1"/>
    <xf numFmtId="10" fontId="6" fillId="7" borderId="8" xfId="14" applyNumberFormat="1" applyFont="1" applyFill="1" applyBorder="1"/>
    <xf numFmtId="10" fontId="6" fillId="7" borderId="10" xfId="14" applyNumberFormat="1" applyFont="1" applyFill="1" applyBorder="1"/>
    <xf numFmtId="166" fontId="6" fillId="5" borderId="0" xfId="2" applyNumberFormat="1" applyFont="1" applyFill="1"/>
    <xf numFmtId="9" fontId="13" fillId="12" borderId="0" xfId="0" applyNumberFormat="1" applyFont="1" applyFill="1" applyAlignment="1">
      <alignment horizontal="center"/>
    </xf>
    <xf numFmtId="0" fontId="6" fillId="5" borderId="0" xfId="14" applyFill="1" applyBorder="1" applyAlignment="1">
      <alignment horizontal="center"/>
    </xf>
    <xf numFmtId="9" fontId="6" fillId="5" borderId="10" xfId="14" applyNumberFormat="1" applyFill="1" applyBorder="1"/>
    <xf numFmtId="10" fontId="12" fillId="0" borderId="0" xfId="2" applyNumberFormat="1" applyFont="1" applyFill="1"/>
    <xf numFmtId="0" fontId="7" fillId="0" borderId="0" xfId="0" applyFont="1" applyAlignment="1">
      <alignment horizontal="center"/>
    </xf>
    <xf numFmtId="0" fontId="3" fillId="5" borderId="11" xfId="14" applyFont="1" applyFill="1" applyBorder="1"/>
    <xf numFmtId="0" fontId="3" fillId="5" borderId="9" xfId="14" applyFont="1" applyFill="1" applyBorder="1"/>
    <xf numFmtId="2" fontId="22" fillId="5" borderId="0" xfId="14" applyNumberFormat="1" applyFont="1" applyFill="1" applyBorder="1" applyAlignment="1">
      <alignment horizontal="center"/>
    </xf>
    <xf numFmtId="172" fontId="13" fillId="5" borderId="14" xfId="1" applyNumberFormat="1" applyFont="1" applyFill="1" applyBorder="1" applyAlignment="1">
      <alignment horizontal="center"/>
    </xf>
    <xf numFmtId="173" fontId="13" fillId="5" borderId="5" xfId="1" applyNumberFormat="1" applyFont="1" applyFill="1" applyBorder="1" applyAlignment="1">
      <alignment horizontal="center"/>
    </xf>
    <xf numFmtId="166" fontId="13" fillId="6" borderId="2" xfId="2" applyNumberFormat="1" applyFont="1" applyFill="1" applyBorder="1" applyAlignment="1">
      <alignment horizontal="center"/>
    </xf>
    <xf numFmtId="0" fontId="22" fillId="6" borderId="11" xfId="14" applyFont="1" applyFill="1" applyBorder="1" applyAlignment="1">
      <alignment horizontal="center"/>
    </xf>
    <xf numFmtId="0" fontId="22" fillId="6" borderId="12" xfId="14" applyFont="1" applyFill="1" applyBorder="1" applyAlignment="1">
      <alignment horizontal="center"/>
    </xf>
    <xf numFmtId="0" fontId="6" fillId="5" borderId="0" xfId="14" applyFill="1" applyBorder="1" applyAlignment="1">
      <alignment horizontal="center"/>
    </xf>
    <xf numFmtId="164" fontId="15" fillId="0" borderId="0" xfId="1" applyNumberFormat="1" applyFont="1" applyAlignment="1">
      <alignment horizontal="center"/>
    </xf>
    <xf numFmtId="0" fontId="22" fillId="5" borderId="0" xfId="14" applyFont="1" applyFill="1" applyBorder="1" applyAlignment="1"/>
    <xf numFmtId="0" fontId="13" fillId="0" borderId="0" xfId="0" applyFont="1" applyFill="1" applyAlignment="1">
      <alignment horizontal="center"/>
    </xf>
    <xf numFmtId="10" fontId="12" fillId="0" borderId="0" xfId="2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0" fontId="2" fillId="5" borderId="9" xfId="14" applyFont="1" applyFill="1" applyBorder="1"/>
    <xf numFmtId="0" fontId="29" fillId="5" borderId="0" xfId="14" applyFont="1" applyFill="1" applyBorder="1"/>
    <xf numFmtId="164" fontId="15" fillId="0" borderId="0" xfId="1" applyNumberFormat="1" applyFont="1" applyAlignment="1">
      <alignment horizontal="center"/>
    </xf>
    <xf numFmtId="184" fontId="15" fillId="0" borderId="0" xfId="1" applyNumberFormat="1" applyFont="1" applyAlignment="1">
      <alignment horizontal="center"/>
    </xf>
    <xf numFmtId="9" fontId="6" fillId="7" borderId="10" xfId="14" applyNumberFormat="1" applyFont="1" applyFill="1" applyBorder="1"/>
    <xf numFmtId="0" fontId="1" fillId="5" borderId="0" xfId="14" applyFont="1" applyFill="1" applyBorder="1"/>
    <xf numFmtId="164" fontId="28" fillId="2" borderId="11" xfId="1" applyNumberFormat="1" applyFont="1" applyFill="1" applyBorder="1" applyAlignment="1">
      <alignment horizontal="center"/>
    </xf>
    <xf numFmtId="0" fontId="28" fillId="2" borderId="13" xfId="14" applyFont="1" applyFill="1" applyBorder="1"/>
    <xf numFmtId="0" fontId="13" fillId="2" borderId="9" xfId="14" applyFont="1" applyFill="1" applyBorder="1" applyAlignment="1"/>
    <xf numFmtId="0" fontId="13" fillId="2" borderId="10" xfId="14" applyFont="1" applyFill="1" applyBorder="1"/>
    <xf numFmtId="171" fontId="6" fillId="0" borderId="0" xfId="14" applyNumberFormat="1" applyFont="1" applyFill="1" applyBorder="1" applyAlignment="1">
      <alignment horizontal="center"/>
    </xf>
    <xf numFmtId="9" fontId="6" fillId="0" borderId="0" xfId="14" applyNumberFormat="1" applyFont="1" applyFill="1" applyBorder="1" applyAlignment="1">
      <alignment horizontal="center"/>
    </xf>
    <xf numFmtId="10" fontId="12" fillId="0" borderId="0" xfId="0" applyNumberFormat="1" applyFont="1" applyFill="1"/>
    <xf numFmtId="10" fontId="13" fillId="0" borderId="0" xfId="0" applyNumberFormat="1" applyFont="1" applyFill="1" applyAlignment="1">
      <alignment horizontal="center"/>
    </xf>
    <xf numFmtId="180" fontId="13" fillId="0" borderId="0" xfId="0" applyNumberFormat="1" applyFont="1" applyFill="1" applyAlignment="1">
      <alignment horizontal="center"/>
    </xf>
    <xf numFmtId="174" fontId="12" fillId="0" borderId="0" xfId="0" applyNumberFormat="1" applyFont="1" applyFill="1"/>
    <xf numFmtId="165" fontId="15" fillId="0" borderId="0" xfId="2" applyNumberFormat="1" applyFont="1" applyFill="1" applyAlignment="1">
      <alignment horizontal="center"/>
    </xf>
    <xf numFmtId="0" fontId="12" fillId="0" borderId="0" xfId="0" applyFont="1" applyFill="1" applyBorder="1"/>
    <xf numFmtId="171" fontId="15" fillId="0" borderId="0" xfId="0" applyNumberFormat="1" applyFont="1" applyFill="1" applyAlignment="1">
      <alignment horizontal="center"/>
    </xf>
    <xf numFmtId="9" fontId="15" fillId="0" borderId="0" xfId="2" applyFont="1" applyFill="1" applyAlignment="1">
      <alignment horizontal="center"/>
    </xf>
    <xf numFmtId="37" fontId="15" fillId="0" borderId="0" xfId="1" applyNumberFormat="1" applyFont="1" applyFill="1" applyAlignment="1">
      <alignment horizontal="center"/>
    </xf>
    <xf numFmtId="166" fontId="15" fillId="0" borderId="0" xfId="2" applyNumberFormat="1" applyFont="1" applyFill="1" applyAlignment="1">
      <alignment horizontal="center"/>
    </xf>
    <xf numFmtId="37" fontId="12" fillId="0" borderId="0" xfId="1" applyNumberFormat="1" applyFont="1" applyFill="1" applyAlignment="1">
      <alignment horizontal="center"/>
    </xf>
    <xf numFmtId="39" fontId="13" fillId="0" borderId="0" xfId="1" applyNumberFormat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173" fontId="13" fillId="0" borderId="0" xfId="1" applyNumberFormat="1" applyFont="1" applyFill="1" applyBorder="1" applyAlignment="1">
      <alignment horizontal="center"/>
    </xf>
    <xf numFmtId="3" fontId="21" fillId="0" borderId="0" xfId="1" applyNumberFormat="1" applyFont="1" applyFill="1" applyAlignment="1">
      <alignment horizontal="center"/>
    </xf>
    <xf numFmtId="39" fontId="12" fillId="0" borderId="0" xfId="1" applyNumberFormat="1" applyFont="1" applyFill="1" applyAlignment="1">
      <alignment horizontal="center"/>
    </xf>
    <xf numFmtId="9" fontId="13" fillId="0" borderId="0" xfId="2" applyFont="1" applyAlignment="1">
      <alignment horizontal="center"/>
    </xf>
    <xf numFmtId="0" fontId="17" fillId="0" borderId="0" xfId="0" applyFont="1" applyFill="1"/>
    <xf numFmtId="164" fontId="16" fillId="0" borderId="0" xfId="1" applyNumberFormat="1" applyFont="1" applyFill="1"/>
    <xf numFmtId="0" fontId="16" fillId="0" borderId="0" xfId="0" applyFont="1" applyFill="1"/>
    <xf numFmtId="164" fontId="30" fillId="0" borderId="0" xfId="1" applyNumberFormat="1" applyFont="1" applyAlignment="1">
      <alignment horizontal="center"/>
    </xf>
    <xf numFmtId="164" fontId="30" fillId="0" borderId="0" xfId="1" applyNumberFormat="1" applyFont="1" applyAlignment="1">
      <alignment horizontal="right"/>
    </xf>
    <xf numFmtId="164" fontId="30" fillId="0" borderId="0" xfId="1" applyNumberFormat="1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/>
    <xf numFmtId="0" fontId="7" fillId="5" borderId="7" xfId="14" applyFont="1" applyFill="1" applyBorder="1" applyAlignment="1">
      <alignment vertical="top" wrapText="1"/>
    </xf>
    <xf numFmtId="0" fontId="7" fillId="5" borderId="8" xfId="14" applyFont="1" applyFill="1" applyBorder="1" applyAlignment="1">
      <alignment vertical="top" wrapText="1"/>
    </xf>
    <xf numFmtId="0" fontId="7" fillId="5" borderId="9" xfId="14" applyFont="1" applyFill="1" applyBorder="1" applyAlignment="1">
      <alignment vertical="top" wrapText="1"/>
    </xf>
    <xf numFmtId="0" fontId="7" fillId="5" borderId="10" xfId="14" applyFont="1" applyFill="1" applyBorder="1" applyAlignment="1">
      <alignment vertical="top" wrapText="1"/>
    </xf>
    <xf numFmtId="0" fontId="7" fillId="5" borderId="11" xfId="14" applyFont="1" applyFill="1" applyBorder="1" applyAlignment="1">
      <alignment vertical="top" wrapText="1"/>
    </xf>
    <xf numFmtId="0" fontId="7" fillId="5" borderId="12" xfId="14" applyFont="1" applyFill="1" applyBorder="1" applyAlignment="1">
      <alignment vertical="top" wrapText="1"/>
    </xf>
    <xf numFmtId="0" fontId="7" fillId="5" borderId="13" xfId="14" applyFont="1" applyFill="1" applyBorder="1" applyAlignment="1">
      <alignment vertical="top" wrapText="1"/>
    </xf>
    <xf numFmtId="0" fontId="7" fillId="5" borderId="6" xfId="14" applyFont="1" applyFill="1" applyBorder="1" applyAlignment="1">
      <alignment vertical="top"/>
    </xf>
    <xf numFmtId="0" fontId="7" fillId="5" borderId="9" xfId="14" applyFont="1" applyFill="1" applyBorder="1" applyAlignment="1">
      <alignment vertical="top"/>
    </xf>
    <xf numFmtId="164" fontId="7" fillId="5" borderId="10" xfId="1" applyNumberFormat="1" applyFont="1" applyFill="1" applyBorder="1" applyAlignment="1">
      <alignment vertical="top" wrapText="1"/>
    </xf>
    <xf numFmtId="9" fontId="16" fillId="0" borderId="0" xfId="2" applyFont="1" applyAlignment="1">
      <alignment horizontal="right"/>
    </xf>
    <xf numFmtId="4" fontId="31" fillId="0" borderId="0" xfId="1" applyNumberFormat="1" applyFont="1" applyAlignment="1">
      <alignment horizontal="center"/>
    </xf>
    <xf numFmtId="0" fontId="6" fillId="5" borderId="8" xfId="14" applyFill="1" applyBorder="1" applyAlignment="1">
      <alignment horizontal="center" vertical="center" wrapText="1"/>
    </xf>
    <xf numFmtId="0" fontId="6" fillId="5" borderId="10" xfId="14" applyFill="1" applyBorder="1" applyAlignment="1">
      <alignment horizontal="center" vertical="center" wrapText="1"/>
    </xf>
    <xf numFmtId="0" fontId="6" fillId="5" borderId="13" xfId="14" applyFill="1" applyBorder="1" applyAlignment="1">
      <alignment horizontal="center" vertical="center" wrapText="1"/>
    </xf>
    <xf numFmtId="0" fontId="6" fillId="5" borderId="6" xfId="14" applyFill="1" applyBorder="1" applyAlignment="1">
      <alignment horizontal="center" vertical="center" wrapText="1"/>
    </xf>
    <xf numFmtId="0" fontId="6" fillId="5" borderId="9" xfId="14" applyFill="1" applyBorder="1" applyAlignment="1">
      <alignment horizontal="center" vertical="center" wrapText="1"/>
    </xf>
    <xf numFmtId="0" fontId="6" fillId="5" borderId="11" xfId="14" applyFill="1" applyBorder="1" applyAlignment="1">
      <alignment horizontal="center" vertical="center" wrapText="1"/>
    </xf>
    <xf numFmtId="175" fontId="6" fillId="5" borderId="7" xfId="14" applyNumberFormat="1" applyFill="1" applyBorder="1" applyAlignment="1">
      <alignment horizontal="center" vertical="center"/>
    </xf>
    <xf numFmtId="175" fontId="6" fillId="5" borderId="0" xfId="14" applyNumberFormat="1" applyFill="1" applyBorder="1" applyAlignment="1">
      <alignment horizontal="center" vertical="center"/>
    </xf>
    <xf numFmtId="175" fontId="6" fillId="5" borderId="12" xfId="14" applyNumberFormat="1" applyFill="1" applyBorder="1" applyAlignment="1">
      <alignment horizontal="center" vertical="center"/>
    </xf>
    <xf numFmtId="10" fontId="6" fillId="5" borderId="7" xfId="2" applyNumberFormat="1" applyFont="1" applyFill="1" applyBorder="1" applyAlignment="1">
      <alignment horizontal="center" vertical="center"/>
    </xf>
    <xf numFmtId="10" fontId="6" fillId="5" borderId="0" xfId="2" applyNumberFormat="1" applyFont="1" applyFill="1" applyBorder="1" applyAlignment="1">
      <alignment horizontal="center" vertical="center"/>
    </xf>
    <xf numFmtId="0" fontId="22" fillId="6" borderId="6" xfId="14" applyFont="1" applyFill="1" applyBorder="1" applyAlignment="1">
      <alignment horizontal="center"/>
    </xf>
    <xf numFmtId="0" fontId="22" fillId="6" borderId="7" xfId="14" applyFont="1" applyFill="1" applyBorder="1" applyAlignment="1">
      <alignment horizontal="center"/>
    </xf>
    <xf numFmtId="0" fontId="22" fillId="6" borderId="8" xfId="14" applyFont="1" applyFill="1" applyBorder="1" applyAlignment="1">
      <alignment horizontal="center"/>
    </xf>
    <xf numFmtId="0" fontId="22" fillId="6" borderId="0" xfId="14" applyFont="1" applyFill="1" applyBorder="1" applyAlignment="1">
      <alignment horizontal="center"/>
    </xf>
    <xf numFmtId="0" fontId="22" fillId="6" borderId="10" xfId="14" applyFont="1" applyFill="1" applyBorder="1" applyAlignment="1">
      <alignment horizontal="center"/>
    </xf>
    <xf numFmtId="0" fontId="6" fillId="5" borderId="7" xfId="14" applyFont="1" applyFill="1" applyBorder="1" applyAlignment="1">
      <alignment horizontal="left" vertical="top" wrapText="1"/>
    </xf>
    <xf numFmtId="0" fontId="6" fillId="5" borderId="8" xfId="14" applyFont="1" applyFill="1" applyBorder="1" applyAlignment="1">
      <alignment horizontal="left" vertical="top" wrapText="1"/>
    </xf>
    <xf numFmtId="0" fontId="6" fillId="5" borderId="0" xfId="14" applyFont="1" applyFill="1" applyBorder="1" applyAlignment="1">
      <alignment horizontal="left" vertical="top" wrapText="1"/>
    </xf>
    <xf numFmtId="0" fontId="6" fillId="5" borderId="10" xfId="14" applyFont="1" applyFill="1" applyBorder="1" applyAlignment="1">
      <alignment horizontal="left" vertical="top" wrapText="1"/>
    </xf>
    <xf numFmtId="0" fontId="6" fillId="5" borderId="12" xfId="14" applyFont="1" applyFill="1" applyBorder="1" applyAlignment="1">
      <alignment horizontal="left" vertical="top" wrapText="1"/>
    </xf>
    <xf numFmtId="0" fontId="6" fillId="5" borderId="13" xfId="14" applyFont="1" applyFill="1" applyBorder="1" applyAlignment="1">
      <alignment horizontal="left" vertical="top" wrapText="1"/>
    </xf>
    <xf numFmtId="0" fontId="22" fillId="5" borderId="0" xfId="14" applyFont="1" applyFill="1" applyBorder="1" applyAlignment="1">
      <alignment horizontal="center"/>
    </xf>
    <xf numFmtId="0" fontId="6" fillId="5" borderId="0" xfId="14" applyFill="1" applyBorder="1" applyAlignment="1">
      <alignment horizontal="center"/>
    </xf>
    <xf numFmtId="0" fontId="22" fillId="6" borderId="2" xfId="14" applyFont="1" applyFill="1" applyBorder="1" applyAlignment="1">
      <alignment horizontal="center"/>
    </xf>
    <xf numFmtId="0" fontId="22" fillId="6" borderId="3" xfId="14" applyFont="1" applyFill="1" applyBorder="1" applyAlignment="1">
      <alignment horizontal="center"/>
    </xf>
    <xf numFmtId="0" fontId="22" fillId="6" borderId="13" xfId="14" applyFont="1" applyFill="1" applyBorder="1" applyAlignment="1">
      <alignment horizontal="center"/>
    </xf>
    <xf numFmtId="0" fontId="22" fillId="6" borderId="11" xfId="14" applyFont="1" applyFill="1" applyBorder="1" applyAlignment="1">
      <alignment horizontal="center"/>
    </xf>
    <xf numFmtId="0" fontId="22" fillId="6" borderId="12" xfId="14" applyFont="1" applyFill="1" applyBorder="1" applyAlignment="1">
      <alignment horizontal="center"/>
    </xf>
    <xf numFmtId="0" fontId="29" fillId="5" borderId="9" xfId="14" applyFont="1" applyFill="1" applyBorder="1" applyAlignment="1">
      <alignment horizontal="center" wrapText="1"/>
    </xf>
    <xf numFmtId="0" fontId="29" fillId="5" borderId="0" xfId="14" applyFont="1" applyFill="1" applyBorder="1" applyAlignment="1">
      <alignment horizontal="center" wrapText="1"/>
    </xf>
    <xf numFmtId="0" fontId="22" fillId="6" borderId="9" xfId="14" applyFont="1" applyFill="1" applyBorder="1" applyAlignment="1">
      <alignment horizontal="center"/>
    </xf>
    <xf numFmtId="0" fontId="29" fillId="2" borderId="6" xfId="14" applyFont="1" applyFill="1" applyBorder="1" applyAlignment="1">
      <alignment horizontal="center"/>
    </xf>
    <xf numFmtId="0" fontId="29" fillId="2" borderId="8" xfId="14" applyFont="1" applyFill="1" applyBorder="1" applyAlignment="1">
      <alignment horizontal="center"/>
    </xf>
    <xf numFmtId="0" fontId="13" fillId="6" borderId="6" xfId="14" applyFont="1" applyFill="1" applyBorder="1" applyAlignment="1">
      <alignment horizontal="center"/>
    </xf>
    <xf numFmtId="0" fontId="13" fillId="6" borderId="7" xfId="14" applyFont="1" applyFill="1" applyBorder="1" applyAlignment="1">
      <alignment horizontal="center"/>
    </xf>
    <xf numFmtId="0" fontId="13" fillId="6" borderId="8" xfId="14" applyFont="1" applyFill="1" applyBorder="1" applyAlignment="1">
      <alignment horizontal="center"/>
    </xf>
    <xf numFmtId="10" fontId="27" fillId="0" borderId="0" xfId="2" applyNumberFormat="1" applyFont="1" applyAlignment="1">
      <alignment horizontal="center" vertical="center" wrapText="1"/>
    </xf>
    <xf numFmtId="181" fontId="12" fillId="0" borderId="0" xfId="2" applyNumberFormat="1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12" borderId="0" xfId="0" applyFont="1" applyFill="1" applyAlignment="1">
      <alignment horizontal="center"/>
    </xf>
  </cellXfs>
  <cellStyles count="17">
    <cellStyle name="Comma" xfId="1" builtinId="3"/>
    <cellStyle name="Comma 2" xfId="7"/>
    <cellStyle name="Comma 3" xfId="13"/>
    <cellStyle name="Comma 4" xfId="15"/>
    <cellStyle name="Currency 2" xfId="8"/>
    <cellStyle name="Currency 3" xfId="11"/>
    <cellStyle name="Normal" xfId="0" builtinId="0"/>
    <cellStyle name="Normal 2" xfId="3"/>
    <cellStyle name="Normal 3" xfId="5"/>
    <cellStyle name="Normal 4" xfId="6"/>
    <cellStyle name="Normal 5" xfId="10"/>
    <cellStyle name="Normal 6" xfId="14"/>
    <cellStyle name="Percent" xfId="2" builtinId="5"/>
    <cellStyle name="Percent 2" xfId="4"/>
    <cellStyle name="Percent 3" xfId="9"/>
    <cellStyle name="Percent 4" xfId="12"/>
    <cellStyle name="Percent 5" xfId="16"/>
  </cellStyles>
  <dxfs count="0"/>
  <tableStyles count="0" defaultTableStyle="TableStyleMedium9" defaultPivotStyle="PivotStyleLight16"/>
  <colors>
    <mruColors>
      <color rgb="FFFFFF99"/>
      <color rgb="FFFFFFCC"/>
      <color rgb="FFF688F6"/>
      <color rgb="FF7DDDFF"/>
      <color rgb="FFFFFF00"/>
      <color rgb="FFFF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714375</xdr:colOff>
      <xdr:row>25</xdr:row>
      <xdr:rowOff>57150</xdr:rowOff>
    </xdr:from>
    <xdr:ext cx="184731" cy="264560"/>
    <xdr:sp macro="" textlink="">
      <xdr:nvSpPr>
        <xdr:cNvPr id="4" name="TextBox 3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714375</xdr:colOff>
      <xdr:row>25</xdr:row>
      <xdr:rowOff>57150</xdr:rowOff>
    </xdr:from>
    <xdr:ext cx="184731" cy="264560"/>
    <xdr:sp macro="" textlink="">
      <xdr:nvSpPr>
        <xdr:cNvPr id="5" name="TextBox 4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714375</xdr:colOff>
      <xdr:row>25</xdr:row>
      <xdr:rowOff>57150</xdr:rowOff>
    </xdr:from>
    <xdr:ext cx="184731" cy="264560"/>
    <xdr:sp macro="" textlink="">
      <xdr:nvSpPr>
        <xdr:cNvPr id="6" name="TextBox 5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714375</xdr:colOff>
      <xdr:row>25</xdr:row>
      <xdr:rowOff>57150</xdr:rowOff>
    </xdr:from>
    <xdr:ext cx="184731" cy="264560"/>
    <xdr:sp macro="" textlink="">
      <xdr:nvSpPr>
        <xdr:cNvPr id="7" name="TextBox 6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714375</xdr:colOff>
      <xdr:row>25</xdr:row>
      <xdr:rowOff>57150</xdr:rowOff>
    </xdr:from>
    <xdr:ext cx="184731" cy="264560"/>
    <xdr:sp macro="" textlink="">
      <xdr:nvSpPr>
        <xdr:cNvPr id="8" name="TextBox 7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714375</xdr:colOff>
      <xdr:row>25</xdr:row>
      <xdr:rowOff>57150</xdr:rowOff>
    </xdr:from>
    <xdr:ext cx="184731" cy="264560"/>
    <xdr:sp macro="" textlink="">
      <xdr:nvSpPr>
        <xdr:cNvPr id="9" name="TextBox 8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714375</xdr:colOff>
      <xdr:row>25</xdr:row>
      <xdr:rowOff>57150</xdr:rowOff>
    </xdr:from>
    <xdr:ext cx="184731" cy="264560"/>
    <xdr:sp macro="" textlink="">
      <xdr:nvSpPr>
        <xdr:cNvPr id="10" name="TextBox 9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714375</xdr:colOff>
      <xdr:row>25</xdr:row>
      <xdr:rowOff>57150</xdr:rowOff>
    </xdr:from>
    <xdr:ext cx="184731" cy="264560"/>
    <xdr:sp macro="" textlink="">
      <xdr:nvSpPr>
        <xdr:cNvPr id="11" name="TextBox 10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714375</xdr:colOff>
      <xdr:row>25</xdr:row>
      <xdr:rowOff>57150</xdr:rowOff>
    </xdr:from>
    <xdr:ext cx="184731" cy="264560"/>
    <xdr:sp macro="" textlink="">
      <xdr:nvSpPr>
        <xdr:cNvPr id="12" name="TextBox 11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714375</xdr:colOff>
      <xdr:row>25</xdr:row>
      <xdr:rowOff>57150</xdr:rowOff>
    </xdr:from>
    <xdr:ext cx="184731" cy="264560"/>
    <xdr:sp macro="" textlink="">
      <xdr:nvSpPr>
        <xdr:cNvPr id="13" name="TextBox 12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714375</xdr:colOff>
      <xdr:row>25</xdr:row>
      <xdr:rowOff>57150</xdr:rowOff>
    </xdr:from>
    <xdr:ext cx="184731" cy="264560"/>
    <xdr:sp macro="" textlink="">
      <xdr:nvSpPr>
        <xdr:cNvPr id="14" name="TextBox 13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714375</xdr:colOff>
      <xdr:row>25</xdr:row>
      <xdr:rowOff>57150</xdr:rowOff>
    </xdr:from>
    <xdr:ext cx="184731" cy="264560"/>
    <xdr:sp macro="" textlink="">
      <xdr:nvSpPr>
        <xdr:cNvPr id="15" name="TextBox 14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714375</xdr:colOff>
      <xdr:row>25</xdr:row>
      <xdr:rowOff>57150</xdr:rowOff>
    </xdr:from>
    <xdr:ext cx="184731" cy="264560"/>
    <xdr:sp macro="" textlink="">
      <xdr:nvSpPr>
        <xdr:cNvPr id="16" name="TextBox 15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714375</xdr:colOff>
      <xdr:row>25</xdr:row>
      <xdr:rowOff>57150</xdr:rowOff>
    </xdr:from>
    <xdr:ext cx="184731" cy="264560"/>
    <xdr:sp macro="" textlink="">
      <xdr:nvSpPr>
        <xdr:cNvPr id="17" name="TextBox 16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714375</xdr:colOff>
      <xdr:row>25</xdr:row>
      <xdr:rowOff>57150</xdr:rowOff>
    </xdr:from>
    <xdr:ext cx="184731" cy="264560"/>
    <xdr:sp macro="" textlink="">
      <xdr:nvSpPr>
        <xdr:cNvPr id="18" name="TextBox 17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714375</xdr:colOff>
      <xdr:row>25</xdr:row>
      <xdr:rowOff>57150</xdr:rowOff>
    </xdr:from>
    <xdr:ext cx="184731" cy="264560"/>
    <xdr:sp macro="" textlink="">
      <xdr:nvSpPr>
        <xdr:cNvPr id="19" name="TextBox 18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714375</xdr:colOff>
      <xdr:row>25</xdr:row>
      <xdr:rowOff>57150</xdr:rowOff>
    </xdr:from>
    <xdr:ext cx="184731" cy="264560"/>
    <xdr:sp macro="" textlink="">
      <xdr:nvSpPr>
        <xdr:cNvPr id="20" name="TextBox 19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714375</xdr:colOff>
      <xdr:row>25</xdr:row>
      <xdr:rowOff>57150</xdr:rowOff>
    </xdr:from>
    <xdr:ext cx="184731" cy="264560"/>
    <xdr:sp macro="" textlink="">
      <xdr:nvSpPr>
        <xdr:cNvPr id="21" name="TextBox 20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714375</xdr:colOff>
      <xdr:row>25</xdr:row>
      <xdr:rowOff>57150</xdr:rowOff>
    </xdr:from>
    <xdr:ext cx="184731" cy="264560"/>
    <xdr:sp macro="" textlink="">
      <xdr:nvSpPr>
        <xdr:cNvPr id="22" name="TextBox 21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714375</xdr:colOff>
      <xdr:row>25</xdr:row>
      <xdr:rowOff>57150</xdr:rowOff>
    </xdr:from>
    <xdr:ext cx="184731" cy="264560"/>
    <xdr:sp macro="" textlink="">
      <xdr:nvSpPr>
        <xdr:cNvPr id="23" name="TextBox 22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714375</xdr:colOff>
      <xdr:row>25</xdr:row>
      <xdr:rowOff>57150</xdr:rowOff>
    </xdr:from>
    <xdr:ext cx="184731" cy="264560"/>
    <xdr:sp macro="" textlink="">
      <xdr:nvSpPr>
        <xdr:cNvPr id="24" name="TextBox 23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714375</xdr:colOff>
      <xdr:row>25</xdr:row>
      <xdr:rowOff>57150</xdr:rowOff>
    </xdr:from>
    <xdr:ext cx="184731" cy="264560"/>
    <xdr:sp macro="" textlink="">
      <xdr:nvSpPr>
        <xdr:cNvPr id="25" name="TextBox 24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714375</xdr:colOff>
      <xdr:row>25</xdr:row>
      <xdr:rowOff>57150</xdr:rowOff>
    </xdr:from>
    <xdr:ext cx="184731" cy="264560"/>
    <xdr:sp macro="" textlink="">
      <xdr:nvSpPr>
        <xdr:cNvPr id="26" name="TextBox 25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714375</xdr:colOff>
      <xdr:row>25</xdr:row>
      <xdr:rowOff>57150</xdr:rowOff>
    </xdr:from>
    <xdr:ext cx="184731" cy="264560"/>
    <xdr:sp macro="" textlink="">
      <xdr:nvSpPr>
        <xdr:cNvPr id="27" name="TextBox 26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714375</xdr:colOff>
      <xdr:row>25</xdr:row>
      <xdr:rowOff>57150</xdr:rowOff>
    </xdr:from>
    <xdr:ext cx="184731" cy="264560"/>
    <xdr:sp macro="" textlink="">
      <xdr:nvSpPr>
        <xdr:cNvPr id="28" name="TextBox 27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714375</xdr:colOff>
      <xdr:row>25</xdr:row>
      <xdr:rowOff>57150</xdr:rowOff>
    </xdr:from>
    <xdr:ext cx="184731" cy="264560"/>
    <xdr:sp macro="" textlink="">
      <xdr:nvSpPr>
        <xdr:cNvPr id="29" name="TextBox 28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714375</xdr:colOff>
      <xdr:row>25</xdr:row>
      <xdr:rowOff>57150</xdr:rowOff>
    </xdr:from>
    <xdr:ext cx="184731" cy="264560"/>
    <xdr:sp macro="" textlink="">
      <xdr:nvSpPr>
        <xdr:cNvPr id="30" name="TextBox 29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714375</xdr:colOff>
      <xdr:row>25</xdr:row>
      <xdr:rowOff>57150</xdr:rowOff>
    </xdr:from>
    <xdr:ext cx="184731" cy="264560"/>
    <xdr:sp macro="" textlink="">
      <xdr:nvSpPr>
        <xdr:cNvPr id="31" name="TextBox 30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714375</xdr:colOff>
      <xdr:row>25</xdr:row>
      <xdr:rowOff>57150</xdr:rowOff>
    </xdr:from>
    <xdr:ext cx="184731" cy="264560"/>
    <xdr:sp macro="" textlink="">
      <xdr:nvSpPr>
        <xdr:cNvPr id="32" name="TextBox 31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714375</xdr:colOff>
      <xdr:row>25</xdr:row>
      <xdr:rowOff>57150</xdr:rowOff>
    </xdr:from>
    <xdr:ext cx="184731" cy="264560"/>
    <xdr:sp macro="" textlink="">
      <xdr:nvSpPr>
        <xdr:cNvPr id="33" name="TextBox 32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714375</xdr:colOff>
      <xdr:row>25</xdr:row>
      <xdr:rowOff>57150</xdr:rowOff>
    </xdr:from>
    <xdr:ext cx="184731" cy="264560"/>
    <xdr:sp macro="" textlink="">
      <xdr:nvSpPr>
        <xdr:cNvPr id="34" name="TextBox 33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714375</xdr:colOff>
      <xdr:row>25</xdr:row>
      <xdr:rowOff>57150</xdr:rowOff>
    </xdr:from>
    <xdr:ext cx="184731" cy="264560"/>
    <xdr:sp macro="" textlink="">
      <xdr:nvSpPr>
        <xdr:cNvPr id="35" name="TextBox 34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714375</xdr:colOff>
      <xdr:row>25</xdr:row>
      <xdr:rowOff>57150</xdr:rowOff>
    </xdr:from>
    <xdr:ext cx="184731" cy="264560"/>
    <xdr:sp macro="" textlink="">
      <xdr:nvSpPr>
        <xdr:cNvPr id="36" name="TextBox 35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714375</xdr:colOff>
      <xdr:row>25</xdr:row>
      <xdr:rowOff>57150</xdr:rowOff>
    </xdr:from>
    <xdr:ext cx="184731" cy="264560"/>
    <xdr:sp macro="" textlink="">
      <xdr:nvSpPr>
        <xdr:cNvPr id="37" name="TextBox 36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714375</xdr:colOff>
      <xdr:row>25</xdr:row>
      <xdr:rowOff>57150</xdr:rowOff>
    </xdr:from>
    <xdr:ext cx="184731" cy="264560"/>
    <xdr:sp macro="" textlink="">
      <xdr:nvSpPr>
        <xdr:cNvPr id="38" name="TextBox 37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714375</xdr:colOff>
      <xdr:row>25</xdr:row>
      <xdr:rowOff>57150</xdr:rowOff>
    </xdr:from>
    <xdr:ext cx="184731" cy="264560"/>
    <xdr:sp macro="" textlink="">
      <xdr:nvSpPr>
        <xdr:cNvPr id="39" name="TextBox 38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714375</xdr:colOff>
      <xdr:row>25</xdr:row>
      <xdr:rowOff>57150</xdr:rowOff>
    </xdr:from>
    <xdr:ext cx="184731" cy="264560"/>
    <xdr:sp macro="" textlink="">
      <xdr:nvSpPr>
        <xdr:cNvPr id="40" name="TextBox 39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714375</xdr:colOff>
      <xdr:row>25</xdr:row>
      <xdr:rowOff>57150</xdr:rowOff>
    </xdr:from>
    <xdr:ext cx="184731" cy="264560"/>
    <xdr:sp macro="" textlink="">
      <xdr:nvSpPr>
        <xdr:cNvPr id="41" name="TextBox 40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714375</xdr:colOff>
      <xdr:row>25</xdr:row>
      <xdr:rowOff>57150</xdr:rowOff>
    </xdr:from>
    <xdr:ext cx="184731" cy="264560"/>
    <xdr:sp macro="" textlink="">
      <xdr:nvSpPr>
        <xdr:cNvPr id="42" name="TextBox 41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714375</xdr:colOff>
      <xdr:row>25</xdr:row>
      <xdr:rowOff>57150</xdr:rowOff>
    </xdr:from>
    <xdr:ext cx="184731" cy="264560"/>
    <xdr:sp macro="" textlink="">
      <xdr:nvSpPr>
        <xdr:cNvPr id="43" name="TextBox 42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714375</xdr:colOff>
      <xdr:row>25</xdr:row>
      <xdr:rowOff>57150</xdr:rowOff>
    </xdr:from>
    <xdr:ext cx="184731" cy="264560"/>
    <xdr:sp macro="" textlink="">
      <xdr:nvSpPr>
        <xdr:cNvPr id="44" name="TextBox 43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714375</xdr:colOff>
      <xdr:row>25</xdr:row>
      <xdr:rowOff>57150</xdr:rowOff>
    </xdr:from>
    <xdr:ext cx="184731" cy="264560"/>
    <xdr:sp macro="" textlink="">
      <xdr:nvSpPr>
        <xdr:cNvPr id="45" name="TextBox 44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714375</xdr:colOff>
      <xdr:row>25</xdr:row>
      <xdr:rowOff>57150</xdr:rowOff>
    </xdr:from>
    <xdr:ext cx="184731" cy="264560"/>
    <xdr:sp macro="" textlink="">
      <xdr:nvSpPr>
        <xdr:cNvPr id="46" name="TextBox 45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714375</xdr:colOff>
      <xdr:row>25</xdr:row>
      <xdr:rowOff>57150</xdr:rowOff>
    </xdr:from>
    <xdr:ext cx="184731" cy="264560"/>
    <xdr:sp macro="" textlink="">
      <xdr:nvSpPr>
        <xdr:cNvPr id="47" name="TextBox 46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714375</xdr:colOff>
      <xdr:row>25</xdr:row>
      <xdr:rowOff>57150</xdr:rowOff>
    </xdr:from>
    <xdr:ext cx="184731" cy="264560"/>
    <xdr:sp macro="" textlink="">
      <xdr:nvSpPr>
        <xdr:cNvPr id="48" name="TextBox 47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714375</xdr:colOff>
      <xdr:row>25</xdr:row>
      <xdr:rowOff>57150</xdr:rowOff>
    </xdr:from>
    <xdr:ext cx="184731" cy="264560"/>
    <xdr:sp macro="" textlink="">
      <xdr:nvSpPr>
        <xdr:cNvPr id="49" name="TextBox 48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714375</xdr:colOff>
      <xdr:row>25</xdr:row>
      <xdr:rowOff>57150</xdr:rowOff>
    </xdr:from>
    <xdr:ext cx="184731" cy="264560"/>
    <xdr:sp macro="" textlink="">
      <xdr:nvSpPr>
        <xdr:cNvPr id="50" name="TextBox 49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714375</xdr:colOff>
      <xdr:row>25</xdr:row>
      <xdr:rowOff>57150</xdr:rowOff>
    </xdr:from>
    <xdr:ext cx="184731" cy="264560"/>
    <xdr:sp macro="" textlink="">
      <xdr:nvSpPr>
        <xdr:cNvPr id="51" name="TextBox 50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714375</xdr:colOff>
      <xdr:row>25</xdr:row>
      <xdr:rowOff>57150</xdr:rowOff>
    </xdr:from>
    <xdr:ext cx="184731" cy="264560"/>
    <xdr:sp macro="" textlink="">
      <xdr:nvSpPr>
        <xdr:cNvPr id="52" name="TextBox 51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714375</xdr:colOff>
      <xdr:row>25</xdr:row>
      <xdr:rowOff>57150</xdr:rowOff>
    </xdr:from>
    <xdr:ext cx="184731" cy="264560"/>
    <xdr:sp macro="" textlink="">
      <xdr:nvSpPr>
        <xdr:cNvPr id="53" name="TextBox 52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714375</xdr:colOff>
      <xdr:row>25</xdr:row>
      <xdr:rowOff>57150</xdr:rowOff>
    </xdr:from>
    <xdr:ext cx="184731" cy="264560"/>
    <xdr:sp macro="" textlink="">
      <xdr:nvSpPr>
        <xdr:cNvPr id="54" name="TextBox 53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714375</xdr:colOff>
      <xdr:row>25</xdr:row>
      <xdr:rowOff>57150</xdr:rowOff>
    </xdr:from>
    <xdr:ext cx="184731" cy="264560"/>
    <xdr:sp macro="" textlink="">
      <xdr:nvSpPr>
        <xdr:cNvPr id="55" name="TextBox 54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714375</xdr:colOff>
      <xdr:row>25</xdr:row>
      <xdr:rowOff>57150</xdr:rowOff>
    </xdr:from>
    <xdr:ext cx="184731" cy="264560"/>
    <xdr:sp macro="" textlink="">
      <xdr:nvSpPr>
        <xdr:cNvPr id="56" name="TextBox 55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714375</xdr:colOff>
      <xdr:row>25</xdr:row>
      <xdr:rowOff>57150</xdr:rowOff>
    </xdr:from>
    <xdr:ext cx="184731" cy="264560"/>
    <xdr:sp macro="" textlink="">
      <xdr:nvSpPr>
        <xdr:cNvPr id="57" name="TextBox 56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714375</xdr:colOff>
      <xdr:row>25</xdr:row>
      <xdr:rowOff>57150</xdr:rowOff>
    </xdr:from>
    <xdr:ext cx="184731" cy="264560"/>
    <xdr:sp macro="" textlink="">
      <xdr:nvSpPr>
        <xdr:cNvPr id="58" name="TextBox 57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714375</xdr:colOff>
      <xdr:row>25</xdr:row>
      <xdr:rowOff>57150</xdr:rowOff>
    </xdr:from>
    <xdr:ext cx="184731" cy="264560"/>
    <xdr:sp macro="" textlink="">
      <xdr:nvSpPr>
        <xdr:cNvPr id="59" name="TextBox 58"/>
        <xdr:cNvSpPr txBox="1"/>
      </xdr:nvSpPr>
      <xdr:spPr>
        <a:xfrm>
          <a:off x="4038600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714375</xdr:colOff>
      <xdr:row>35</xdr:row>
      <xdr:rowOff>57150</xdr:rowOff>
    </xdr:from>
    <xdr:ext cx="184731" cy="264560"/>
    <xdr:sp macro="" textlink="">
      <xdr:nvSpPr>
        <xdr:cNvPr id="60" name="TextBox 59"/>
        <xdr:cNvSpPr txBox="1"/>
      </xdr:nvSpPr>
      <xdr:spPr>
        <a:xfrm>
          <a:off x="53435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714375</xdr:colOff>
      <xdr:row>35</xdr:row>
      <xdr:rowOff>57150</xdr:rowOff>
    </xdr:from>
    <xdr:ext cx="184731" cy="264560"/>
    <xdr:sp macro="" textlink="">
      <xdr:nvSpPr>
        <xdr:cNvPr id="61" name="TextBox 60"/>
        <xdr:cNvSpPr txBox="1"/>
      </xdr:nvSpPr>
      <xdr:spPr>
        <a:xfrm>
          <a:off x="53435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714375</xdr:colOff>
      <xdr:row>35</xdr:row>
      <xdr:rowOff>57150</xdr:rowOff>
    </xdr:from>
    <xdr:ext cx="184731" cy="264560"/>
    <xdr:sp macro="" textlink="">
      <xdr:nvSpPr>
        <xdr:cNvPr id="62" name="TextBox 61"/>
        <xdr:cNvSpPr txBox="1"/>
      </xdr:nvSpPr>
      <xdr:spPr>
        <a:xfrm>
          <a:off x="63531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714375</xdr:colOff>
      <xdr:row>35</xdr:row>
      <xdr:rowOff>57150</xdr:rowOff>
    </xdr:from>
    <xdr:ext cx="184731" cy="264560"/>
    <xdr:sp macro="" textlink="">
      <xdr:nvSpPr>
        <xdr:cNvPr id="63" name="TextBox 62"/>
        <xdr:cNvSpPr txBox="1"/>
      </xdr:nvSpPr>
      <xdr:spPr>
        <a:xfrm>
          <a:off x="63531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714375</xdr:colOff>
      <xdr:row>35</xdr:row>
      <xdr:rowOff>57150</xdr:rowOff>
    </xdr:from>
    <xdr:ext cx="184731" cy="264560"/>
    <xdr:sp macro="" textlink="">
      <xdr:nvSpPr>
        <xdr:cNvPr id="64" name="TextBox 63"/>
        <xdr:cNvSpPr txBox="1"/>
      </xdr:nvSpPr>
      <xdr:spPr>
        <a:xfrm>
          <a:off x="73628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714375</xdr:colOff>
      <xdr:row>35</xdr:row>
      <xdr:rowOff>57150</xdr:rowOff>
    </xdr:from>
    <xdr:ext cx="184731" cy="264560"/>
    <xdr:sp macro="" textlink="">
      <xdr:nvSpPr>
        <xdr:cNvPr id="65" name="TextBox 64"/>
        <xdr:cNvSpPr txBox="1"/>
      </xdr:nvSpPr>
      <xdr:spPr>
        <a:xfrm>
          <a:off x="73628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714375</xdr:colOff>
      <xdr:row>35</xdr:row>
      <xdr:rowOff>57150</xdr:rowOff>
    </xdr:from>
    <xdr:ext cx="184731" cy="264560"/>
    <xdr:sp macro="" textlink="">
      <xdr:nvSpPr>
        <xdr:cNvPr id="66" name="TextBox 65"/>
        <xdr:cNvSpPr txBox="1"/>
      </xdr:nvSpPr>
      <xdr:spPr>
        <a:xfrm>
          <a:off x="83724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714375</xdr:colOff>
      <xdr:row>35</xdr:row>
      <xdr:rowOff>57150</xdr:rowOff>
    </xdr:from>
    <xdr:ext cx="184731" cy="264560"/>
    <xdr:sp macro="" textlink="">
      <xdr:nvSpPr>
        <xdr:cNvPr id="67" name="TextBox 66"/>
        <xdr:cNvSpPr txBox="1"/>
      </xdr:nvSpPr>
      <xdr:spPr>
        <a:xfrm>
          <a:off x="83724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714375</xdr:colOff>
      <xdr:row>35</xdr:row>
      <xdr:rowOff>57150</xdr:rowOff>
    </xdr:from>
    <xdr:ext cx="184731" cy="264560"/>
    <xdr:sp macro="" textlink="">
      <xdr:nvSpPr>
        <xdr:cNvPr id="68" name="TextBox 67"/>
        <xdr:cNvSpPr txBox="1"/>
      </xdr:nvSpPr>
      <xdr:spPr>
        <a:xfrm>
          <a:off x="93821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714375</xdr:colOff>
      <xdr:row>35</xdr:row>
      <xdr:rowOff>57150</xdr:rowOff>
    </xdr:from>
    <xdr:ext cx="184731" cy="264560"/>
    <xdr:sp macro="" textlink="">
      <xdr:nvSpPr>
        <xdr:cNvPr id="69" name="TextBox 68"/>
        <xdr:cNvSpPr txBox="1"/>
      </xdr:nvSpPr>
      <xdr:spPr>
        <a:xfrm>
          <a:off x="93821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714375</xdr:colOff>
      <xdr:row>35</xdr:row>
      <xdr:rowOff>57150</xdr:rowOff>
    </xdr:from>
    <xdr:ext cx="184731" cy="264560"/>
    <xdr:sp macro="" textlink="">
      <xdr:nvSpPr>
        <xdr:cNvPr id="70" name="TextBox 69"/>
        <xdr:cNvSpPr txBox="1"/>
      </xdr:nvSpPr>
      <xdr:spPr>
        <a:xfrm>
          <a:off x="103917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714375</xdr:colOff>
      <xdr:row>35</xdr:row>
      <xdr:rowOff>57150</xdr:rowOff>
    </xdr:from>
    <xdr:ext cx="184731" cy="264560"/>
    <xdr:sp macro="" textlink="">
      <xdr:nvSpPr>
        <xdr:cNvPr id="71" name="TextBox 70"/>
        <xdr:cNvSpPr txBox="1"/>
      </xdr:nvSpPr>
      <xdr:spPr>
        <a:xfrm>
          <a:off x="103917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714375</xdr:colOff>
      <xdr:row>35</xdr:row>
      <xdr:rowOff>57150</xdr:rowOff>
    </xdr:from>
    <xdr:ext cx="184731" cy="264560"/>
    <xdr:sp macro="" textlink="">
      <xdr:nvSpPr>
        <xdr:cNvPr id="72" name="TextBox 71"/>
        <xdr:cNvSpPr txBox="1"/>
      </xdr:nvSpPr>
      <xdr:spPr>
        <a:xfrm>
          <a:off x="114014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714375</xdr:colOff>
      <xdr:row>35</xdr:row>
      <xdr:rowOff>57150</xdr:rowOff>
    </xdr:from>
    <xdr:ext cx="184731" cy="264560"/>
    <xdr:sp macro="" textlink="">
      <xdr:nvSpPr>
        <xdr:cNvPr id="73" name="TextBox 72"/>
        <xdr:cNvSpPr txBox="1"/>
      </xdr:nvSpPr>
      <xdr:spPr>
        <a:xfrm>
          <a:off x="114014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714375</xdr:colOff>
      <xdr:row>35</xdr:row>
      <xdr:rowOff>57150</xdr:rowOff>
    </xdr:from>
    <xdr:ext cx="184731" cy="264560"/>
    <xdr:sp macro="" textlink="">
      <xdr:nvSpPr>
        <xdr:cNvPr id="74" name="TextBox 73"/>
        <xdr:cNvSpPr txBox="1"/>
      </xdr:nvSpPr>
      <xdr:spPr>
        <a:xfrm>
          <a:off x="124110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714375</xdr:colOff>
      <xdr:row>35</xdr:row>
      <xdr:rowOff>57150</xdr:rowOff>
    </xdr:from>
    <xdr:ext cx="184731" cy="264560"/>
    <xdr:sp macro="" textlink="">
      <xdr:nvSpPr>
        <xdr:cNvPr id="75" name="TextBox 74"/>
        <xdr:cNvSpPr txBox="1"/>
      </xdr:nvSpPr>
      <xdr:spPr>
        <a:xfrm>
          <a:off x="124110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714375</xdr:colOff>
      <xdr:row>35</xdr:row>
      <xdr:rowOff>57150</xdr:rowOff>
    </xdr:from>
    <xdr:ext cx="184731" cy="264560"/>
    <xdr:sp macro="" textlink="">
      <xdr:nvSpPr>
        <xdr:cNvPr id="76" name="TextBox 75"/>
        <xdr:cNvSpPr txBox="1"/>
      </xdr:nvSpPr>
      <xdr:spPr>
        <a:xfrm>
          <a:off x="134207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714375</xdr:colOff>
      <xdr:row>35</xdr:row>
      <xdr:rowOff>57150</xdr:rowOff>
    </xdr:from>
    <xdr:ext cx="184731" cy="264560"/>
    <xdr:sp macro="" textlink="">
      <xdr:nvSpPr>
        <xdr:cNvPr id="77" name="TextBox 76"/>
        <xdr:cNvSpPr txBox="1"/>
      </xdr:nvSpPr>
      <xdr:spPr>
        <a:xfrm>
          <a:off x="134207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714375</xdr:colOff>
      <xdr:row>35</xdr:row>
      <xdr:rowOff>57150</xdr:rowOff>
    </xdr:from>
    <xdr:ext cx="184731" cy="264560"/>
    <xdr:sp macro="" textlink="">
      <xdr:nvSpPr>
        <xdr:cNvPr id="78" name="TextBox 77"/>
        <xdr:cNvSpPr txBox="1"/>
      </xdr:nvSpPr>
      <xdr:spPr>
        <a:xfrm>
          <a:off x="144303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714375</xdr:colOff>
      <xdr:row>35</xdr:row>
      <xdr:rowOff>57150</xdr:rowOff>
    </xdr:from>
    <xdr:ext cx="184731" cy="264560"/>
    <xdr:sp macro="" textlink="">
      <xdr:nvSpPr>
        <xdr:cNvPr id="79" name="TextBox 78"/>
        <xdr:cNvSpPr txBox="1"/>
      </xdr:nvSpPr>
      <xdr:spPr>
        <a:xfrm>
          <a:off x="144303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714375</xdr:colOff>
      <xdr:row>35</xdr:row>
      <xdr:rowOff>57150</xdr:rowOff>
    </xdr:from>
    <xdr:ext cx="184731" cy="264560"/>
    <xdr:sp macro="" textlink="">
      <xdr:nvSpPr>
        <xdr:cNvPr id="80" name="TextBox 79"/>
        <xdr:cNvSpPr txBox="1"/>
      </xdr:nvSpPr>
      <xdr:spPr>
        <a:xfrm>
          <a:off x="154400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714375</xdr:colOff>
      <xdr:row>35</xdr:row>
      <xdr:rowOff>57150</xdr:rowOff>
    </xdr:from>
    <xdr:ext cx="184731" cy="264560"/>
    <xdr:sp macro="" textlink="">
      <xdr:nvSpPr>
        <xdr:cNvPr id="81" name="TextBox 80"/>
        <xdr:cNvSpPr txBox="1"/>
      </xdr:nvSpPr>
      <xdr:spPr>
        <a:xfrm>
          <a:off x="154400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714375</xdr:colOff>
      <xdr:row>35</xdr:row>
      <xdr:rowOff>57150</xdr:rowOff>
    </xdr:from>
    <xdr:ext cx="184731" cy="264560"/>
    <xdr:sp macro="" textlink="">
      <xdr:nvSpPr>
        <xdr:cNvPr id="82" name="TextBox 81"/>
        <xdr:cNvSpPr txBox="1"/>
      </xdr:nvSpPr>
      <xdr:spPr>
        <a:xfrm>
          <a:off x="164496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714375</xdr:colOff>
      <xdr:row>35</xdr:row>
      <xdr:rowOff>57150</xdr:rowOff>
    </xdr:from>
    <xdr:ext cx="184731" cy="264560"/>
    <xdr:sp macro="" textlink="">
      <xdr:nvSpPr>
        <xdr:cNvPr id="83" name="TextBox 82"/>
        <xdr:cNvSpPr txBox="1"/>
      </xdr:nvSpPr>
      <xdr:spPr>
        <a:xfrm>
          <a:off x="164496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714375</xdr:colOff>
      <xdr:row>35</xdr:row>
      <xdr:rowOff>57150</xdr:rowOff>
    </xdr:from>
    <xdr:ext cx="184731" cy="264560"/>
    <xdr:sp macro="" textlink="">
      <xdr:nvSpPr>
        <xdr:cNvPr id="84" name="TextBox 83"/>
        <xdr:cNvSpPr txBox="1"/>
      </xdr:nvSpPr>
      <xdr:spPr>
        <a:xfrm>
          <a:off x="174593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714375</xdr:colOff>
      <xdr:row>35</xdr:row>
      <xdr:rowOff>57150</xdr:rowOff>
    </xdr:from>
    <xdr:ext cx="184731" cy="264560"/>
    <xdr:sp macro="" textlink="">
      <xdr:nvSpPr>
        <xdr:cNvPr id="85" name="TextBox 84"/>
        <xdr:cNvSpPr txBox="1"/>
      </xdr:nvSpPr>
      <xdr:spPr>
        <a:xfrm>
          <a:off x="174593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714375</xdr:colOff>
      <xdr:row>35</xdr:row>
      <xdr:rowOff>57150</xdr:rowOff>
    </xdr:from>
    <xdr:ext cx="184731" cy="264560"/>
    <xdr:sp macro="" textlink="">
      <xdr:nvSpPr>
        <xdr:cNvPr id="86" name="TextBox 85"/>
        <xdr:cNvSpPr txBox="1"/>
      </xdr:nvSpPr>
      <xdr:spPr>
        <a:xfrm>
          <a:off x="184689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714375</xdr:colOff>
      <xdr:row>35</xdr:row>
      <xdr:rowOff>57150</xdr:rowOff>
    </xdr:from>
    <xdr:ext cx="184731" cy="264560"/>
    <xdr:sp macro="" textlink="">
      <xdr:nvSpPr>
        <xdr:cNvPr id="87" name="TextBox 86"/>
        <xdr:cNvSpPr txBox="1"/>
      </xdr:nvSpPr>
      <xdr:spPr>
        <a:xfrm>
          <a:off x="184689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714375</xdr:colOff>
      <xdr:row>35</xdr:row>
      <xdr:rowOff>57150</xdr:rowOff>
    </xdr:from>
    <xdr:ext cx="184731" cy="264560"/>
    <xdr:sp macro="" textlink="">
      <xdr:nvSpPr>
        <xdr:cNvPr id="88" name="TextBox 87"/>
        <xdr:cNvSpPr txBox="1"/>
      </xdr:nvSpPr>
      <xdr:spPr>
        <a:xfrm>
          <a:off x="194786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714375</xdr:colOff>
      <xdr:row>35</xdr:row>
      <xdr:rowOff>57150</xdr:rowOff>
    </xdr:from>
    <xdr:ext cx="184731" cy="264560"/>
    <xdr:sp macro="" textlink="">
      <xdr:nvSpPr>
        <xdr:cNvPr id="89" name="TextBox 88"/>
        <xdr:cNvSpPr txBox="1"/>
      </xdr:nvSpPr>
      <xdr:spPr>
        <a:xfrm>
          <a:off x="194786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714375</xdr:colOff>
      <xdr:row>35</xdr:row>
      <xdr:rowOff>57150</xdr:rowOff>
    </xdr:from>
    <xdr:ext cx="184731" cy="264560"/>
    <xdr:sp macro="" textlink="">
      <xdr:nvSpPr>
        <xdr:cNvPr id="90" name="TextBox 89"/>
        <xdr:cNvSpPr txBox="1"/>
      </xdr:nvSpPr>
      <xdr:spPr>
        <a:xfrm>
          <a:off x="204882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714375</xdr:colOff>
      <xdr:row>35</xdr:row>
      <xdr:rowOff>57150</xdr:rowOff>
    </xdr:from>
    <xdr:ext cx="184731" cy="264560"/>
    <xdr:sp macro="" textlink="">
      <xdr:nvSpPr>
        <xdr:cNvPr id="91" name="TextBox 90"/>
        <xdr:cNvSpPr txBox="1"/>
      </xdr:nvSpPr>
      <xdr:spPr>
        <a:xfrm>
          <a:off x="204882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714375</xdr:colOff>
      <xdr:row>35</xdr:row>
      <xdr:rowOff>57150</xdr:rowOff>
    </xdr:from>
    <xdr:ext cx="184731" cy="264560"/>
    <xdr:sp macro="" textlink="">
      <xdr:nvSpPr>
        <xdr:cNvPr id="92" name="TextBox 91"/>
        <xdr:cNvSpPr txBox="1"/>
      </xdr:nvSpPr>
      <xdr:spPr>
        <a:xfrm>
          <a:off x="214979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714375</xdr:colOff>
      <xdr:row>35</xdr:row>
      <xdr:rowOff>57150</xdr:rowOff>
    </xdr:from>
    <xdr:ext cx="184731" cy="264560"/>
    <xdr:sp macro="" textlink="">
      <xdr:nvSpPr>
        <xdr:cNvPr id="93" name="TextBox 92"/>
        <xdr:cNvSpPr txBox="1"/>
      </xdr:nvSpPr>
      <xdr:spPr>
        <a:xfrm>
          <a:off x="214979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714375</xdr:colOff>
      <xdr:row>35</xdr:row>
      <xdr:rowOff>57150</xdr:rowOff>
    </xdr:from>
    <xdr:ext cx="184731" cy="264560"/>
    <xdr:sp macro="" textlink="">
      <xdr:nvSpPr>
        <xdr:cNvPr id="94" name="TextBox 93"/>
        <xdr:cNvSpPr txBox="1"/>
      </xdr:nvSpPr>
      <xdr:spPr>
        <a:xfrm>
          <a:off x="225075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714375</xdr:colOff>
      <xdr:row>35</xdr:row>
      <xdr:rowOff>57150</xdr:rowOff>
    </xdr:from>
    <xdr:ext cx="184731" cy="264560"/>
    <xdr:sp macro="" textlink="">
      <xdr:nvSpPr>
        <xdr:cNvPr id="95" name="TextBox 94"/>
        <xdr:cNvSpPr txBox="1"/>
      </xdr:nvSpPr>
      <xdr:spPr>
        <a:xfrm>
          <a:off x="225075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714375</xdr:colOff>
      <xdr:row>35</xdr:row>
      <xdr:rowOff>57150</xdr:rowOff>
    </xdr:from>
    <xdr:ext cx="184731" cy="264560"/>
    <xdr:sp macro="" textlink="">
      <xdr:nvSpPr>
        <xdr:cNvPr id="96" name="TextBox 95"/>
        <xdr:cNvSpPr txBox="1"/>
      </xdr:nvSpPr>
      <xdr:spPr>
        <a:xfrm>
          <a:off x="235172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714375</xdr:colOff>
      <xdr:row>35</xdr:row>
      <xdr:rowOff>57150</xdr:rowOff>
    </xdr:from>
    <xdr:ext cx="184731" cy="264560"/>
    <xdr:sp macro="" textlink="">
      <xdr:nvSpPr>
        <xdr:cNvPr id="97" name="TextBox 96"/>
        <xdr:cNvSpPr txBox="1"/>
      </xdr:nvSpPr>
      <xdr:spPr>
        <a:xfrm>
          <a:off x="235172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714375</xdr:colOff>
      <xdr:row>35</xdr:row>
      <xdr:rowOff>57150</xdr:rowOff>
    </xdr:from>
    <xdr:ext cx="184731" cy="264560"/>
    <xdr:sp macro="" textlink="">
      <xdr:nvSpPr>
        <xdr:cNvPr id="98" name="TextBox 97"/>
        <xdr:cNvSpPr txBox="1"/>
      </xdr:nvSpPr>
      <xdr:spPr>
        <a:xfrm>
          <a:off x="245268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714375</xdr:colOff>
      <xdr:row>35</xdr:row>
      <xdr:rowOff>57150</xdr:rowOff>
    </xdr:from>
    <xdr:ext cx="184731" cy="264560"/>
    <xdr:sp macro="" textlink="">
      <xdr:nvSpPr>
        <xdr:cNvPr id="99" name="TextBox 98"/>
        <xdr:cNvSpPr txBox="1"/>
      </xdr:nvSpPr>
      <xdr:spPr>
        <a:xfrm>
          <a:off x="245268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714375</xdr:colOff>
      <xdr:row>35</xdr:row>
      <xdr:rowOff>57150</xdr:rowOff>
    </xdr:from>
    <xdr:ext cx="184731" cy="264560"/>
    <xdr:sp macro="" textlink="">
      <xdr:nvSpPr>
        <xdr:cNvPr id="100" name="TextBox 99"/>
        <xdr:cNvSpPr txBox="1"/>
      </xdr:nvSpPr>
      <xdr:spPr>
        <a:xfrm>
          <a:off x="255365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714375</xdr:colOff>
      <xdr:row>35</xdr:row>
      <xdr:rowOff>57150</xdr:rowOff>
    </xdr:from>
    <xdr:ext cx="184731" cy="264560"/>
    <xdr:sp macro="" textlink="">
      <xdr:nvSpPr>
        <xdr:cNvPr id="101" name="TextBox 100"/>
        <xdr:cNvSpPr txBox="1"/>
      </xdr:nvSpPr>
      <xdr:spPr>
        <a:xfrm>
          <a:off x="255365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714375</xdr:colOff>
      <xdr:row>35</xdr:row>
      <xdr:rowOff>57150</xdr:rowOff>
    </xdr:from>
    <xdr:ext cx="184731" cy="264560"/>
    <xdr:sp macro="" textlink="">
      <xdr:nvSpPr>
        <xdr:cNvPr id="102" name="TextBox 101"/>
        <xdr:cNvSpPr txBox="1"/>
      </xdr:nvSpPr>
      <xdr:spPr>
        <a:xfrm>
          <a:off x="265461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714375</xdr:colOff>
      <xdr:row>35</xdr:row>
      <xdr:rowOff>57150</xdr:rowOff>
    </xdr:from>
    <xdr:ext cx="184731" cy="264560"/>
    <xdr:sp macro="" textlink="">
      <xdr:nvSpPr>
        <xdr:cNvPr id="103" name="TextBox 102"/>
        <xdr:cNvSpPr txBox="1"/>
      </xdr:nvSpPr>
      <xdr:spPr>
        <a:xfrm>
          <a:off x="265461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714375</xdr:colOff>
      <xdr:row>35</xdr:row>
      <xdr:rowOff>57150</xdr:rowOff>
    </xdr:from>
    <xdr:ext cx="184731" cy="264560"/>
    <xdr:sp macro="" textlink="">
      <xdr:nvSpPr>
        <xdr:cNvPr id="104" name="TextBox 103"/>
        <xdr:cNvSpPr txBox="1"/>
      </xdr:nvSpPr>
      <xdr:spPr>
        <a:xfrm>
          <a:off x="275558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714375</xdr:colOff>
      <xdr:row>35</xdr:row>
      <xdr:rowOff>57150</xdr:rowOff>
    </xdr:from>
    <xdr:ext cx="184731" cy="264560"/>
    <xdr:sp macro="" textlink="">
      <xdr:nvSpPr>
        <xdr:cNvPr id="105" name="TextBox 104"/>
        <xdr:cNvSpPr txBox="1"/>
      </xdr:nvSpPr>
      <xdr:spPr>
        <a:xfrm>
          <a:off x="275558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714375</xdr:colOff>
      <xdr:row>35</xdr:row>
      <xdr:rowOff>57150</xdr:rowOff>
    </xdr:from>
    <xdr:ext cx="184731" cy="264560"/>
    <xdr:sp macro="" textlink="">
      <xdr:nvSpPr>
        <xdr:cNvPr id="106" name="TextBox 105"/>
        <xdr:cNvSpPr txBox="1"/>
      </xdr:nvSpPr>
      <xdr:spPr>
        <a:xfrm>
          <a:off x="285654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714375</xdr:colOff>
      <xdr:row>35</xdr:row>
      <xdr:rowOff>57150</xdr:rowOff>
    </xdr:from>
    <xdr:ext cx="184731" cy="264560"/>
    <xdr:sp macro="" textlink="">
      <xdr:nvSpPr>
        <xdr:cNvPr id="107" name="TextBox 106"/>
        <xdr:cNvSpPr txBox="1"/>
      </xdr:nvSpPr>
      <xdr:spPr>
        <a:xfrm>
          <a:off x="285654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714375</xdr:colOff>
      <xdr:row>35</xdr:row>
      <xdr:rowOff>57150</xdr:rowOff>
    </xdr:from>
    <xdr:ext cx="184731" cy="264560"/>
    <xdr:sp macro="" textlink="">
      <xdr:nvSpPr>
        <xdr:cNvPr id="108" name="TextBox 107"/>
        <xdr:cNvSpPr txBox="1"/>
      </xdr:nvSpPr>
      <xdr:spPr>
        <a:xfrm>
          <a:off x="295751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714375</xdr:colOff>
      <xdr:row>35</xdr:row>
      <xdr:rowOff>57150</xdr:rowOff>
    </xdr:from>
    <xdr:ext cx="184731" cy="264560"/>
    <xdr:sp macro="" textlink="">
      <xdr:nvSpPr>
        <xdr:cNvPr id="109" name="TextBox 108"/>
        <xdr:cNvSpPr txBox="1"/>
      </xdr:nvSpPr>
      <xdr:spPr>
        <a:xfrm>
          <a:off x="295751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714375</xdr:colOff>
      <xdr:row>35</xdr:row>
      <xdr:rowOff>57150</xdr:rowOff>
    </xdr:from>
    <xdr:ext cx="184731" cy="264560"/>
    <xdr:sp macro="" textlink="">
      <xdr:nvSpPr>
        <xdr:cNvPr id="110" name="TextBox 109"/>
        <xdr:cNvSpPr txBox="1"/>
      </xdr:nvSpPr>
      <xdr:spPr>
        <a:xfrm>
          <a:off x="305847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714375</xdr:colOff>
      <xdr:row>35</xdr:row>
      <xdr:rowOff>57150</xdr:rowOff>
    </xdr:from>
    <xdr:ext cx="184731" cy="264560"/>
    <xdr:sp macro="" textlink="">
      <xdr:nvSpPr>
        <xdr:cNvPr id="111" name="TextBox 110"/>
        <xdr:cNvSpPr txBox="1"/>
      </xdr:nvSpPr>
      <xdr:spPr>
        <a:xfrm>
          <a:off x="305847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714375</xdr:colOff>
      <xdr:row>35</xdr:row>
      <xdr:rowOff>57150</xdr:rowOff>
    </xdr:from>
    <xdr:ext cx="184731" cy="264560"/>
    <xdr:sp macro="" textlink="">
      <xdr:nvSpPr>
        <xdr:cNvPr id="112" name="TextBox 111"/>
        <xdr:cNvSpPr txBox="1"/>
      </xdr:nvSpPr>
      <xdr:spPr>
        <a:xfrm>
          <a:off x="315944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714375</xdr:colOff>
      <xdr:row>35</xdr:row>
      <xdr:rowOff>57150</xdr:rowOff>
    </xdr:from>
    <xdr:ext cx="184731" cy="264560"/>
    <xdr:sp macro="" textlink="">
      <xdr:nvSpPr>
        <xdr:cNvPr id="113" name="TextBox 112"/>
        <xdr:cNvSpPr txBox="1"/>
      </xdr:nvSpPr>
      <xdr:spPr>
        <a:xfrm>
          <a:off x="3159442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714375</xdr:colOff>
      <xdr:row>35</xdr:row>
      <xdr:rowOff>57150</xdr:rowOff>
    </xdr:from>
    <xdr:ext cx="184731" cy="264560"/>
    <xdr:sp macro="" textlink="">
      <xdr:nvSpPr>
        <xdr:cNvPr id="114" name="TextBox 113"/>
        <xdr:cNvSpPr txBox="1"/>
      </xdr:nvSpPr>
      <xdr:spPr>
        <a:xfrm>
          <a:off x="326040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714375</xdr:colOff>
      <xdr:row>35</xdr:row>
      <xdr:rowOff>57150</xdr:rowOff>
    </xdr:from>
    <xdr:ext cx="184731" cy="264560"/>
    <xdr:sp macro="" textlink="">
      <xdr:nvSpPr>
        <xdr:cNvPr id="115" name="TextBox 114"/>
        <xdr:cNvSpPr txBox="1"/>
      </xdr:nvSpPr>
      <xdr:spPr>
        <a:xfrm>
          <a:off x="326040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714375</xdr:colOff>
      <xdr:row>44</xdr:row>
      <xdr:rowOff>57150</xdr:rowOff>
    </xdr:from>
    <xdr:ext cx="184731" cy="264560"/>
    <xdr:sp macro="" textlink="">
      <xdr:nvSpPr>
        <xdr:cNvPr id="116" name="TextBox 115"/>
        <xdr:cNvSpPr txBox="1"/>
      </xdr:nvSpPr>
      <xdr:spPr>
        <a:xfrm>
          <a:off x="53435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714375</xdr:colOff>
      <xdr:row>44</xdr:row>
      <xdr:rowOff>57150</xdr:rowOff>
    </xdr:from>
    <xdr:ext cx="184731" cy="264560"/>
    <xdr:sp macro="" textlink="">
      <xdr:nvSpPr>
        <xdr:cNvPr id="117" name="TextBox 116"/>
        <xdr:cNvSpPr txBox="1"/>
      </xdr:nvSpPr>
      <xdr:spPr>
        <a:xfrm>
          <a:off x="53435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714375</xdr:colOff>
      <xdr:row>44</xdr:row>
      <xdr:rowOff>57150</xdr:rowOff>
    </xdr:from>
    <xdr:ext cx="184731" cy="264560"/>
    <xdr:sp macro="" textlink="">
      <xdr:nvSpPr>
        <xdr:cNvPr id="118" name="TextBox 117"/>
        <xdr:cNvSpPr txBox="1"/>
      </xdr:nvSpPr>
      <xdr:spPr>
        <a:xfrm>
          <a:off x="63531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714375</xdr:colOff>
      <xdr:row>44</xdr:row>
      <xdr:rowOff>57150</xdr:rowOff>
    </xdr:from>
    <xdr:ext cx="184731" cy="264560"/>
    <xdr:sp macro="" textlink="">
      <xdr:nvSpPr>
        <xdr:cNvPr id="119" name="TextBox 118"/>
        <xdr:cNvSpPr txBox="1"/>
      </xdr:nvSpPr>
      <xdr:spPr>
        <a:xfrm>
          <a:off x="63531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714375</xdr:colOff>
      <xdr:row>44</xdr:row>
      <xdr:rowOff>57150</xdr:rowOff>
    </xdr:from>
    <xdr:ext cx="184731" cy="264560"/>
    <xdr:sp macro="" textlink="">
      <xdr:nvSpPr>
        <xdr:cNvPr id="120" name="TextBox 119"/>
        <xdr:cNvSpPr txBox="1"/>
      </xdr:nvSpPr>
      <xdr:spPr>
        <a:xfrm>
          <a:off x="73628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714375</xdr:colOff>
      <xdr:row>44</xdr:row>
      <xdr:rowOff>57150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73628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714375</xdr:colOff>
      <xdr:row>44</xdr:row>
      <xdr:rowOff>57150</xdr:rowOff>
    </xdr:from>
    <xdr:ext cx="184731" cy="264560"/>
    <xdr:sp macro="" textlink="">
      <xdr:nvSpPr>
        <xdr:cNvPr id="122" name="TextBox 121"/>
        <xdr:cNvSpPr txBox="1"/>
      </xdr:nvSpPr>
      <xdr:spPr>
        <a:xfrm>
          <a:off x="83724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714375</xdr:colOff>
      <xdr:row>44</xdr:row>
      <xdr:rowOff>57150</xdr:rowOff>
    </xdr:from>
    <xdr:ext cx="184731" cy="264560"/>
    <xdr:sp macro="" textlink="">
      <xdr:nvSpPr>
        <xdr:cNvPr id="123" name="TextBox 122"/>
        <xdr:cNvSpPr txBox="1"/>
      </xdr:nvSpPr>
      <xdr:spPr>
        <a:xfrm>
          <a:off x="83724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714375</xdr:colOff>
      <xdr:row>44</xdr:row>
      <xdr:rowOff>57150</xdr:rowOff>
    </xdr:from>
    <xdr:ext cx="184731" cy="264560"/>
    <xdr:sp macro="" textlink="">
      <xdr:nvSpPr>
        <xdr:cNvPr id="124" name="TextBox 123"/>
        <xdr:cNvSpPr txBox="1"/>
      </xdr:nvSpPr>
      <xdr:spPr>
        <a:xfrm>
          <a:off x="93821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714375</xdr:colOff>
      <xdr:row>44</xdr:row>
      <xdr:rowOff>57150</xdr:rowOff>
    </xdr:from>
    <xdr:ext cx="184731" cy="264560"/>
    <xdr:sp macro="" textlink="">
      <xdr:nvSpPr>
        <xdr:cNvPr id="125" name="TextBox 124"/>
        <xdr:cNvSpPr txBox="1"/>
      </xdr:nvSpPr>
      <xdr:spPr>
        <a:xfrm>
          <a:off x="93821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714375</xdr:colOff>
      <xdr:row>44</xdr:row>
      <xdr:rowOff>57150</xdr:rowOff>
    </xdr:from>
    <xdr:ext cx="184731" cy="264560"/>
    <xdr:sp macro="" textlink="">
      <xdr:nvSpPr>
        <xdr:cNvPr id="126" name="TextBox 125"/>
        <xdr:cNvSpPr txBox="1"/>
      </xdr:nvSpPr>
      <xdr:spPr>
        <a:xfrm>
          <a:off x="103917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714375</xdr:colOff>
      <xdr:row>44</xdr:row>
      <xdr:rowOff>57150</xdr:rowOff>
    </xdr:from>
    <xdr:ext cx="184731" cy="264560"/>
    <xdr:sp macro="" textlink="">
      <xdr:nvSpPr>
        <xdr:cNvPr id="127" name="TextBox 126"/>
        <xdr:cNvSpPr txBox="1"/>
      </xdr:nvSpPr>
      <xdr:spPr>
        <a:xfrm>
          <a:off x="103917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714375</xdr:colOff>
      <xdr:row>44</xdr:row>
      <xdr:rowOff>57150</xdr:rowOff>
    </xdr:from>
    <xdr:ext cx="184731" cy="264560"/>
    <xdr:sp macro="" textlink="">
      <xdr:nvSpPr>
        <xdr:cNvPr id="128" name="TextBox 127"/>
        <xdr:cNvSpPr txBox="1"/>
      </xdr:nvSpPr>
      <xdr:spPr>
        <a:xfrm>
          <a:off x="114014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714375</xdr:colOff>
      <xdr:row>44</xdr:row>
      <xdr:rowOff>57150</xdr:rowOff>
    </xdr:from>
    <xdr:ext cx="184731" cy="264560"/>
    <xdr:sp macro="" textlink="">
      <xdr:nvSpPr>
        <xdr:cNvPr id="129" name="TextBox 128"/>
        <xdr:cNvSpPr txBox="1"/>
      </xdr:nvSpPr>
      <xdr:spPr>
        <a:xfrm>
          <a:off x="114014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714375</xdr:colOff>
      <xdr:row>44</xdr:row>
      <xdr:rowOff>57150</xdr:rowOff>
    </xdr:from>
    <xdr:ext cx="184731" cy="264560"/>
    <xdr:sp macro="" textlink="">
      <xdr:nvSpPr>
        <xdr:cNvPr id="130" name="TextBox 129"/>
        <xdr:cNvSpPr txBox="1"/>
      </xdr:nvSpPr>
      <xdr:spPr>
        <a:xfrm>
          <a:off x="124110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714375</xdr:colOff>
      <xdr:row>44</xdr:row>
      <xdr:rowOff>57150</xdr:rowOff>
    </xdr:from>
    <xdr:ext cx="184731" cy="264560"/>
    <xdr:sp macro="" textlink="">
      <xdr:nvSpPr>
        <xdr:cNvPr id="131" name="TextBox 130"/>
        <xdr:cNvSpPr txBox="1"/>
      </xdr:nvSpPr>
      <xdr:spPr>
        <a:xfrm>
          <a:off x="124110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714375</xdr:colOff>
      <xdr:row>44</xdr:row>
      <xdr:rowOff>57150</xdr:rowOff>
    </xdr:from>
    <xdr:ext cx="184731" cy="264560"/>
    <xdr:sp macro="" textlink="">
      <xdr:nvSpPr>
        <xdr:cNvPr id="132" name="TextBox 131"/>
        <xdr:cNvSpPr txBox="1"/>
      </xdr:nvSpPr>
      <xdr:spPr>
        <a:xfrm>
          <a:off x="134207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714375</xdr:colOff>
      <xdr:row>44</xdr:row>
      <xdr:rowOff>57150</xdr:rowOff>
    </xdr:from>
    <xdr:ext cx="184731" cy="264560"/>
    <xdr:sp macro="" textlink="">
      <xdr:nvSpPr>
        <xdr:cNvPr id="133" name="TextBox 132"/>
        <xdr:cNvSpPr txBox="1"/>
      </xdr:nvSpPr>
      <xdr:spPr>
        <a:xfrm>
          <a:off x="134207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714375</xdr:colOff>
      <xdr:row>44</xdr:row>
      <xdr:rowOff>57150</xdr:rowOff>
    </xdr:from>
    <xdr:ext cx="184731" cy="264560"/>
    <xdr:sp macro="" textlink="">
      <xdr:nvSpPr>
        <xdr:cNvPr id="134" name="TextBox 133"/>
        <xdr:cNvSpPr txBox="1"/>
      </xdr:nvSpPr>
      <xdr:spPr>
        <a:xfrm>
          <a:off x="144303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714375</xdr:colOff>
      <xdr:row>44</xdr:row>
      <xdr:rowOff>57150</xdr:rowOff>
    </xdr:from>
    <xdr:ext cx="184731" cy="264560"/>
    <xdr:sp macro="" textlink="">
      <xdr:nvSpPr>
        <xdr:cNvPr id="135" name="TextBox 134"/>
        <xdr:cNvSpPr txBox="1"/>
      </xdr:nvSpPr>
      <xdr:spPr>
        <a:xfrm>
          <a:off x="144303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714375</xdr:colOff>
      <xdr:row>44</xdr:row>
      <xdr:rowOff>57150</xdr:rowOff>
    </xdr:from>
    <xdr:ext cx="184731" cy="264560"/>
    <xdr:sp macro="" textlink="">
      <xdr:nvSpPr>
        <xdr:cNvPr id="136" name="TextBox 135"/>
        <xdr:cNvSpPr txBox="1"/>
      </xdr:nvSpPr>
      <xdr:spPr>
        <a:xfrm>
          <a:off x="154400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714375</xdr:colOff>
      <xdr:row>44</xdr:row>
      <xdr:rowOff>57150</xdr:rowOff>
    </xdr:from>
    <xdr:ext cx="184731" cy="264560"/>
    <xdr:sp macro="" textlink="">
      <xdr:nvSpPr>
        <xdr:cNvPr id="137" name="TextBox 136"/>
        <xdr:cNvSpPr txBox="1"/>
      </xdr:nvSpPr>
      <xdr:spPr>
        <a:xfrm>
          <a:off x="154400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714375</xdr:colOff>
      <xdr:row>44</xdr:row>
      <xdr:rowOff>57150</xdr:rowOff>
    </xdr:from>
    <xdr:ext cx="184731" cy="264560"/>
    <xdr:sp macro="" textlink="">
      <xdr:nvSpPr>
        <xdr:cNvPr id="138" name="TextBox 137"/>
        <xdr:cNvSpPr txBox="1"/>
      </xdr:nvSpPr>
      <xdr:spPr>
        <a:xfrm>
          <a:off x="164496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714375</xdr:colOff>
      <xdr:row>44</xdr:row>
      <xdr:rowOff>57150</xdr:rowOff>
    </xdr:from>
    <xdr:ext cx="184731" cy="264560"/>
    <xdr:sp macro="" textlink="">
      <xdr:nvSpPr>
        <xdr:cNvPr id="139" name="TextBox 138"/>
        <xdr:cNvSpPr txBox="1"/>
      </xdr:nvSpPr>
      <xdr:spPr>
        <a:xfrm>
          <a:off x="164496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714375</xdr:colOff>
      <xdr:row>44</xdr:row>
      <xdr:rowOff>57150</xdr:rowOff>
    </xdr:from>
    <xdr:ext cx="184731" cy="264560"/>
    <xdr:sp macro="" textlink="">
      <xdr:nvSpPr>
        <xdr:cNvPr id="140" name="TextBox 139"/>
        <xdr:cNvSpPr txBox="1"/>
      </xdr:nvSpPr>
      <xdr:spPr>
        <a:xfrm>
          <a:off x="174593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714375</xdr:colOff>
      <xdr:row>44</xdr:row>
      <xdr:rowOff>57150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174593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714375</xdr:colOff>
      <xdr:row>44</xdr:row>
      <xdr:rowOff>57150</xdr:rowOff>
    </xdr:from>
    <xdr:ext cx="184731" cy="264560"/>
    <xdr:sp macro="" textlink="">
      <xdr:nvSpPr>
        <xdr:cNvPr id="142" name="TextBox 141"/>
        <xdr:cNvSpPr txBox="1"/>
      </xdr:nvSpPr>
      <xdr:spPr>
        <a:xfrm>
          <a:off x="184689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714375</xdr:colOff>
      <xdr:row>44</xdr:row>
      <xdr:rowOff>57150</xdr:rowOff>
    </xdr:from>
    <xdr:ext cx="184731" cy="264560"/>
    <xdr:sp macro="" textlink="">
      <xdr:nvSpPr>
        <xdr:cNvPr id="143" name="TextBox 142"/>
        <xdr:cNvSpPr txBox="1"/>
      </xdr:nvSpPr>
      <xdr:spPr>
        <a:xfrm>
          <a:off x="184689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714375</xdr:colOff>
      <xdr:row>44</xdr:row>
      <xdr:rowOff>57150</xdr:rowOff>
    </xdr:from>
    <xdr:ext cx="184731" cy="264560"/>
    <xdr:sp macro="" textlink="">
      <xdr:nvSpPr>
        <xdr:cNvPr id="144" name="TextBox 143"/>
        <xdr:cNvSpPr txBox="1"/>
      </xdr:nvSpPr>
      <xdr:spPr>
        <a:xfrm>
          <a:off x="194786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714375</xdr:colOff>
      <xdr:row>44</xdr:row>
      <xdr:rowOff>57150</xdr:rowOff>
    </xdr:from>
    <xdr:ext cx="184731" cy="264560"/>
    <xdr:sp macro="" textlink="">
      <xdr:nvSpPr>
        <xdr:cNvPr id="145" name="TextBox 144"/>
        <xdr:cNvSpPr txBox="1"/>
      </xdr:nvSpPr>
      <xdr:spPr>
        <a:xfrm>
          <a:off x="194786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714375</xdr:colOff>
      <xdr:row>44</xdr:row>
      <xdr:rowOff>57150</xdr:rowOff>
    </xdr:from>
    <xdr:ext cx="184731" cy="264560"/>
    <xdr:sp macro="" textlink="">
      <xdr:nvSpPr>
        <xdr:cNvPr id="146" name="TextBox 145"/>
        <xdr:cNvSpPr txBox="1"/>
      </xdr:nvSpPr>
      <xdr:spPr>
        <a:xfrm>
          <a:off x="204882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714375</xdr:colOff>
      <xdr:row>44</xdr:row>
      <xdr:rowOff>57150</xdr:rowOff>
    </xdr:from>
    <xdr:ext cx="184731" cy="264560"/>
    <xdr:sp macro="" textlink="">
      <xdr:nvSpPr>
        <xdr:cNvPr id="147" name="TextBox 146"/>
        <xdr:cNvSpPr txBox="1"/>
      </xdr:nvSpPr>
      <xdr:spPr>
        <a:xfrm>
          <a:off x="204882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714375</xdr:colOff>
      <xdr:row>44</xdr:row>
      <xdr:rowOff>57150</xdr:rowOff>
    </xdr:from>
    <xdr:ext cx="184731" cy="264560"/>
    <xdr:sp macro="" textlink="">
      <xdr:nvSpPr>
        <xdr:cNvPr id="148" name="TextBox 147"/>
        <xdr:cNvSpPr txBox="1"/>
      </xdr:nvSpPr>
      <xdr:spPr>
        <a:xfrm>
          <a:off x="214979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714375</xdr:colOff>
      <xdr:row>44</xdr:row>
      <xdr:rowOff>57150</xdr:rowOff>
    </xdr:from>
    <xdr:ext cx="184731" cy="264560"/>
    <xdr:sp macro="" textlink="">
      <xdr:nvSpPr>
        <xdr:cNvPr id="149" name="TextBox 148"/>
        <xdr:cNvSpPr txBox="1"/>
      </xdr:nvSpPr>
      <xdr:spPr>
        <a:xfrm>
          <a:off x="214979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714375</xdr:colOff>
      <xdr:row>44</xdr:row>
      <xdr:rowOff>57150</xdr:rowOff>
    </xdr:from>
    <xdr:ext cx="184731" cy="264560"/>
    <xdr:sp macro="" textlink="">
      <xdr:nvSpPr>
        <xdr:cNvPr id="150" name="TextBox 149"/>
        <xdr:cNvSpPr txBox="1"/>
      </xdr:nvSpPr>
      <xdr:spPr>
        <a:xfrm>
          <a:off x="225075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714375</xdr:colOff>
      <xdr:row>44</xdr:row>
      <xdr:rowOff>57150</xdr:rowOff>
    </xdr:from>
    <xdr:ext cx="184731" cy="264560"/>
    <xdr:sp macro="" textlink="">
      <xdr:nvSpPr>
        <xdr:cNvPr id="151" name="TextBox 150"/>
        <xdr:cNvSpPr txBox="1"/>
      </xdr:nvSpPr>
      <xdr:spPr>
        <a:xfrm>
          <a:off x="225075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714375</xdr:colOff>
      <xdr:row>44</xdr:row>
      <xdr:rowOff>57150</xdr:rowOff>
    </xdr:from>
    <xdr:ext cx="184731" cy="264560"/>
    <xdr:sp macro="" textlink="">
      <xdr:nvSpPr>
        <xdr:cNvPr id="152" name="TextBox 151"/>
        <xdr:cNvSpPr txBox="1"/>
      </xdr:nvSpPr>
      <xdr:spPr>
        <a:xfrm>
          <a:off x="235172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714375</xdr:colOff>
      <xdr:row>44</xdr:row>
      <xdr:rowOff>57150</xdr:rowOff>
    </xdr:from>
    <xdr:ext cx="184731" cy="264560"/>
    <xdr:sp macro="" textlink="">
      <xdr:nvSpPr>
        <xdr:cNvPr id="153" name="TextBox 152"/>
        <xdr:cNvSpPr txBox="1"/>
      </xdr:nvSpPr>
      <xdr:spPr>
        <a:xfrm>
          <a:off x="235172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714375</xdr:colOff>
      <xdr:row>44</xdr:row>
      <xdr:rowOff>57150</xdr:rowOff>
    </xdr:from>
    <xdr:ext cx="184731" cy="264560"/>
    <xdr:sp macro="" textlink="">
      <xdr:nvSpPr>
        <xdr:cNvPr id="154" name="TextBox 153"/>
        <xdr:cNvSpPr txBox="1"/>
      </xdr:nvSpPr>
      <xdr:spPr>
        <a:xfrm>
          <a:off x="245268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714375</xdr:colOff>
      <xdr:row>44</xdr:row>
      <xdr:rowOff>57150</xdr:rowOff>
    </xdr:from>
    <xdr:ext cx="184731" cy="264560"/>
    <xdr:sp macro="" textlink="">
      <xdr:nvSpPr>
        <xdr:cNvPr id="155" name="TextBox 154"/>
        <xdr:cNvSpPr txBox="1"/>
      </xdr:nvSpPr>
      <xdr:spPr>
        <a:xfrm>
          <a:off x="245268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714375</xdr:colOff>
      <xdr:row>44</xdr:row>
      <xdr:rowOff>57150</xdr:rowOff>
    </xdr:from>
    <xdr:ext cx="184731" cy="264560"/>
    <xdr:sp macro="" textlink="">
      <xdr:nvSpPr>
        <xdr:cNvPr id="156" name="TextBox 155"/>
        <xdr:cNvSpPr txBox="1"/>
      </xdr:nvSpPr>
      <xdr:spPr>
        <a:xfrm>
          <a:off x="255365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714375</xdr:colOff>
      <xdr:row>44</xdr:row>
      <xdr:rowOff>57150</xdr:rowOff>
    </xdr:from>
    <xdr:ext cx="184731" cy="264560"/>
    <xdr:sp macro="" textlink="">
      <xdr:nvSpPr>
        <xdr:cNvPr id="157" name="TextBox 156"/>
        <xdr:cNvSpPr txBox="1"/>
      </xdr:nvSpPr>
      <xdr:spPr>
        <a:xfrm>
          <a:off x="255365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714375</xdr:colOff>
      <xdr:row>44</xdr:row>
      <xdr:rowOff>57150</xdr:rowOff>
    </xdr:from>
    <xdr:ext cx="184731" cy="264560"/>
    <xdr:sp macro="" textlink="">
      <xdr:nvSpPr>
        <xdr:cNvPr id="158" name="TextBox 157"/>
        <xdr:cNvSpPr txBox="1"/>
      </xdr:nvSpPr>
      <xdr:spPr>
        <a:xfrm>
          <a:off x="265461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714375</xdr:colOff>
      <xdr:row>44</xdr:row>
      <xdr:rowOff>57150</xdr:rowOff>
    </xdr:from>
    <xdr:ext cx="184731" cy="264560"/>
    <xdr:sp macro="" textlink="">
      <xdr:nvSpPr>
        <xdr:cNvPr id="159" name="TextBox 158"/>
        <xdr:cNvSpPr txBox="1"/>
      </xdr:nvSpPr>
      <xdr:spPr>
        <a:xfrm>
          <a:off x="265461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714375</xdr:colOff>
      <xdr:row>44</xdr:row>
      <xdr:rowOff>57150</xdr:rowOff>
    </xdr:from>
    <xdr:ext cx="184731" cy="264560"/>
    <xdr:sp macro="" textlink="">
      <xdr:nvSpPr>
        <xdr:cNvPr id="160" name="TextBox 159"/>
        <xdr:cNvSpPr txBox="1"/>
      </xdr:nvSpPr>
      <xdr:spPr>
        <a:xfrm>
          <a:off x="275558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714375</xdr:colOff>
      <xdr:row>44</xdr:row>
      <xdr:rowOff>57150</xdr:rowOff>
    </xdr:from>
    <xdr:ext cx="184731" cy="264560"/>
    <xdr:sp macro="" textlink="">
      <xdr:nvSpPr>
        <xdr:cNvPr id="161" name="TextBox 160"/>
        <xdr:cNvSpPr txBox="1"/>
      </xdr:nvSpPr>
      <xdr:spPr>
        <a:xfrm>
          <a:off x="275558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714375</xdr:colOff>
      <xdr:row>44</xdr:row>
      <xdr:rowOff>57150</xdr:rowOff>
    </xdr:from>
    <xdr:ext cx="184731" cy="264560"/>
    <xdr:sp macro="" textlink="">
      <xdr:nvSpPr>
        <xdr:cNvPr id="162" name="TextBox 161"/>
        <xdr:cNvSpPr txBox="1"/>
      </xdr:nvSpPr>
      <xdr:spPr>
        <a:xfrm>
          <a:off x="285654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714375</xdr:colOff>
      <xdr:row>44</xdr:row>
      <xdr:rowOff>57150</xdr:rowOff>
    </xdr:from>
    <xdr:ext cx="184731" cy="264560"/>
    <xdr:sp macro="" textlink="">
      <xdr:nvSpPr>
        <xdr:cNvPr id="163" name="TextBox 162"/>
        <xdr:cNvSpPr txBox="1"/>
      </xdr:nvSpPr>
      <xdr:spPr>
        <a:xfrm>
          <a:off x="285654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714375</xdr:colOff>
      <xdr:row>44</xdr:row>
      <xdr:rowOff>57150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295751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714375</xdr:colOff>
      <xdr:row>44</xdr:row>
      <xdr:rowOff>57150</xdr:rowOff>
    </xdr:from>
    <xdr:ext cx="184731" cy="264560"/>
    <xdr:sp macro="" textlink="">
      <xdr:nvSpPr>
        <xdr:cNvPr id="165" name="TextBox 164"/>
        <xdr:cNvSpPr txBox="1"/>
      </xdr:nvSpPr>
      <xdr:spPr>
        <a:xfrm>
          <a:off x="295751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714375</xdr:colOff>
      <xdr:row>44</xdr:row>
      <xdr:rowOff>57150</xdr:rowOff>
    </xdr:from>
    <xdr:ext cx="184731" cy="264560"/>
    <xdr:sp macro="" textlink="">
      <xdr:nvSpPr>
        <xdr:cNvPr id="166" name="TextBox 165"/>
        <xdr:cNvSpPr txBox="1"/>
      </xdr:nvSpPr>
      <xdr:spPr>
        <a:xfrm>
          <a:off x="305847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714375</xdr:colOff>
      <xdr:row>44</xdr:row>
      <xdr:rowOff>57150</xdr:rowOff>
    </xdr:from>
    <xdr:ext cx="184731" cy="264560"/>
    <xdr:sp macro="" textlink="">
      <xdr:nvSpPr>
        <xdr:cNvPr id="167" name="TextBox 166"/>
        <xdr:cNvSpPr txBox="1"/>
      </xdr:nvSpPr>
      <xdr:spPr>
        <a:xfrm>
          <a:off x="305847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714375</xdr:colOff>
      <xdr:row>44</xdr:row>
      <xdr:rowOff>57150</xdr:rowOff>
    </xdr:from>
    <xdr:ext cx="184731" cy="264560"/>
    <xdr:sp macro="" textlink="">
      <xdr:nvSpPr>
        <xdr:cNvPr id="168" name="TextBox 167"/>
        <xdr:cNvSpPr txBox="1"/>
      </xdr:nvSpPr>
      <xdr:spPr>
        <a:xfrm>
          <a:off x="315944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714375</xdr:colOff>
      <xdr:row>44</xdr:row>
      <xdr:rowOff>57150</xdr:rowOff>
    </xdr:from>
    <xdr:ext cx="184731" cy="264560"/>
    <xdr:sp macro="" textlink="">
      <xdr:nvSpPr>
        <xdr:cNvPr id="169" name="TextBox 168"/>
        <xdr:cNvSpPr txBox="1"/>
      </xdr:nvSpPr>
      <xdr:spPr>
        <a:xfrm>
          <a:off x="3159442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714375</xdr:colOff>
      <xdr:row>44</xdr:row>
      <xdr:rowOff>57150</xdr:rowOff>
    </xdr:from>
    <xdr:ext cx="184731" cy="264560"/>
    <xdr:sp macro="" textlink="">
      <xdr:nvSpPr>
        <xdr:cNvPr id="170" name="TextBox 169"/>
        <xdr:cNvSpPr txBox="1"/>
      </xdr:nvSpPr>
      <xdr:spPr>
        <a:xfrm>
          <a:off x="326040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714375</xdr:colOff>
      <xdr:row>44</xdr:row>
      <xdr:rowOff>57150</xdr:rowOff>
    </xdr:from>
    <xdr:ext cx="184731" cy="264560"/>
    <xdr:sp macro="" textlink="">
      <xdr:nvSpPr>
        <xdr:cNvPr id="171" name="TextBox 170"/>
        <xdr:cNvSpPr txBox="1"/>
      </xdr:nvSpPr>
      <xdr:spPr>
        <a:xfrm>
          <a:off x="32604075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66"/>
  <sheetViews>
    <sheetView zoomScaleNormal="100" workbookViewId="0"/>
  </sheetViews>
  <sheetFormatPr defaultRowHeight="12.75" x14ac:dyDescent="0.2"/>
  <cols>
    <col min="1" max="1" width="9.33203125" style="133"/>
    <col min="2" max="2" width="24.33203125" style="71" customWidth="1"/>
    <col min="3" max="3" width="19.33203125" style="71" bestFit="1" customWidth="1"/>
    <col min="4" max="4" width="17.1640625" style="71" bestFit="1" customWidth="1"/>
    <col min="5" max="5" width="15.5" style="71" customWidth="1"/>
    <col min="6" max="7" width="9.33203125" style="133"/>
    <col min="8" max="8" width="10.83203125" style="133" customWidth="1"/>
    <col min="9" max="9" width="21" style="133" customWidth="1"/>
    <col min="10" max="10" width="22.33203125" style="133" customWidth="1"/>
    <col min="11" max="11" width="20.33203125" style="133" customWidth="1"/>
    <col min="12" max="12" width="23.33203125" style="133" customWidth="1"/>
    <col min="13" max="13" width="22.83203125" style="133" customWidth="1"/>
    <col min="14" max="14" width="16.1640625" style="133" customWidth="1"/>
    <col min="15" max="15" width="25.33203125" style="133" bestFit="1" customWidth="1"/>
    <col min="16" max="16" width="17.6640625" style="133" bestFit="1" customWidth="1"/>
    <col min="17" max="17" width="9.33203125" style="133"/>
    <col min="18" max="16384" width="9.33203125" style="71"/>
  </cols>
  <sheetData>
    <row r="1" spans="1:17" x14ac:dyDescent="0.2">
      <c r="A1" s="170" t="s">
        <v>142</v>
      </c>
      <c r="B1" s="319" t="s">
        <v>120</v>
      </c>
      <c r="C1" s="320"/>
      <c r="D1" s="320"/>
      <c r="E1" s="321"/>
      <c r="H1" s="169" t="s">
        <v>147</v>
      </c>
      <c r="I1" s="319" t="s">
        <v>146</v>
      </c>
      <c r="J1" s="320"/>
      <c r="K1" s="320"/>
      <c r="L1" s="320"/>
      <c r="M1" s="321"/>
    </row>
    <row r="2" spans="1:17" ht="13.5" thickBot="1" x14ac:dyDescent="0.25">
      <c r="B2" s="107" t="s">
        <v>102</v>
      </c>
      <c r="C2" s="106" t="s">
        <v>93</v>
      </c>
      <c r="D2" s="106" t="s">
        <v>103</v>
      </c>
      <c r="E2" s="108" t="s">
        <v>104</v>
      </c>
      <c r="I2" s="137" t="s">
        <v>102</v>
      </c>
      <c r="J2" s="138" t="s">
        <v>128</v>
      </c>
      <c r="K2" s="138" t="s">
        <v>103</v>
      </c>
      <c r="L2" s="334" t="s">
        <v>104</v>
      </c>
      <c r="M2" s="334"/>
    </row>
    <row r="3" spans="1:17" x14ac:dyDescent="0.2">
      <c r="A3" s="169">
        <v>3</v>
      </c>
      <c r="B3" s="109" t="s">
        <v>13</v>
      </c>
      <c r="C3" s="110">
        <v>10000000</v>
      </c>
      <c r="D3" s="136" t="s">
        <v>121</v>
      </c>
      <c r="E3" s="111" t="s">
        <v>105</v>
      </c>
      <c r="H3" s="169">
        <v>3</v>
      </c>
      <c r="I3" s="145" t="s">
        <v>127</v>
      </c>
      <c r="J3" s="146">
        <v>56.15</v>
      </c>
      <c r="K3" s="174">
        <v>0</v>
      </c>
      <c r="L3" s="147" t="s">
        <v>129</v>
      </c>
      <c r="M3" s="153"/>
    </row>
    <row r="4" spans="1:17" x14ac:dyDescent="0.2">
      <c r="A4" s="169">
        <v>4</v>
      </c>
      <c r="B4" s="112" t="s">
        <v>106</v>
      </c>
      <c r="C4" s="113">
        <v>9000000</v>
      </c>
      <c r="D4" s="134">
        <v>2.5000000000000001E-2</v>
      </c>
      <c r="E4" s="114" t="s">
        <v>105</v>
      </c>
      <c r="H4" s="169">
        <v>4</v>
      </c>
      <c r="I4" s="142" t="s">
        <v>40</v>
      </c>
      <c r="J4" s="148">
        <v>23.74</v>
      </c>
      <c r="K4" s="175">
        <v>0</v>
      </c>
      <c r="L4" s="149" t="s">
        <v>129</v>
      </c>
      <c r="M4" s="154"/>
    </row>
    <row r="5" spans="1:17" ht="13.5" thickBot="1" x14ac:dyDescent="0.25">
      <c r="A5" s="169">
        <v>5</v>
      </c>
      <c r="B5" s="115" t="s">
        <v>107</v>
      </c>
      <c r="C5" s="116">
        <v>1000000</v>
      </c>
      <c r="D5" s="135">
        <v>2.5000000000000001E-2</v>
      </c>
      <c r="E5" s="117" t="s">
        <v>69</v>
      </c>
      <c r="H5" s="169">
        <v>5</v>
      </c>
      <c r="I5" s="142" t="s">
        <v>43</v>
      </c>
      <c r="J5" s="148">
        <v>8.8787417554540848</v>
      </c>
      <c r="K5" s="159" t="s">
        <v>121</v>
      </c>
      <c r="L5" s="149" t="s">
        <v>131</v>
      </c>
      <c r="M5" s="154"/>
    </row>
    <row r="6" spans="1:17" ht="13.5" thickBot="1" x14ac:dyDescent="0.25">
      <c r="A6" s="169"/>
      <c r="B6" s="127"/>
      <c r="C6" s="127"/>
      <c r="D6" s="127"/>
      <c r="E6" s="127"/>
      <c r="H6" s="169">
        <v>6</v>
      </c>
      <c r="I6" s="142" t="s">
        <v>41</v>
      </c>
      <c r="J6" s="148">
        <v>3.56</v>
      </c>
      <c r="K6" s="160">
        <v>2.5000000000000001E-2</v>
      </c>
      <c r="L6" s="149" t="s">
        <v>129</v>
      </c>
      <c r="M6" s="154"/>
    </row>
    <row r="7" spans="1:17" ht="13.5" thickBot="1" x14ac:dyDescent="0.25">
      <c r="A7" s="169"/>
      <c r="B7" s="319" t="s">
        <v>108</v>
      </c>
      <c r="C7" s="320"/>
      <c r="D7" s="320"/>
      <c r="E7" s="321"/>
      <c r="H7" s="169">
        <v>7</v>
      </c>
      <c r="I7" s="143" t="s">
        <v>42</v>
      </c>
      <c r="J7" s="150">
        <v>37.799999999999997</v>
      </c>
      <c r="K7" s="161">
        <v>2.5000000000000001E-2</v>
      </c>
      <c r="L7" s="140" t="s">
        <v>129</v>
      </c>
      <c r="M7" s="155"/>
    </row>
    <row r="8" spans="1:17" ht="13.5" thickBot="1" x14ac:dyDescent="0.25">
      <c r="A8" s="169"/>
      <c r="B8" s="107" t="s">
        <v>102</v>
      </c>
      <c r="C8" s="106" t="s">
        <v>109</v>
      </c>
      <c r="D8" s="322" t="s">
        <v>104</v>
      </c>
      <c r="E8" s="323"/>
      <c r="H8" s="169">
        <v>8</v>
      </c>
      <c r="I8" s="74"/>
      <c r="J8" s="151">
        <f>SUM(J3:J7)</f>
        <v>130.12874175545409</v>
      </c>
      <c r="K8" s="156"/>
      <c r="L8" s="156"/>
      <c r="M8" s="157"/>
    </row>
    <row r="9" spans="1:17" ht="13.5" thickBot="1" x14ac:dyDescent="0.25">
      <c r="A9" s="169">
        <v>9</v>
      </c>
      <c r="B9" s="112" t="s">
        <v>63</v>
      </c>
      <c r="C9" s="118">
        <v>0.8</v>
      </c>
      <c r="D9" s="263" t="s">
        <v>105</v>
      </c>
      <c r="E9" s="114"/>
      <c r="H9" s="169"/>
      <c r="I9" s="162"/>
      <c r="J9" s="162"/>
      <c r="K9" s="162"/>
      <c r="L9" s="162"/>
      <c r="M9" s="162"/>
      <c r="Q9" s="221"/>
    </row>
    <row r="10" spans="1:17" x14ac:dyDescent="0.2">
      <c r="A10" s="169">
        <v>10</v>
      </c>
      <c r="B10" s="112" t="s">
        <v>31</v>
      </c>
      <c r="C10" s="120">
        <f>1-C9</f>
        <v>0.19999999999999996</v>
      </c>
      <c r="D10" s="263" t="s">
        <v>105</v>
      </c>
      <c r="E10" s="114"/>
      <c r="H10" s="169"/>
      <c r="I10" s="319" t="s">
        <v>210</v>
      </c>
      <c r="J10" s="320"/>
      <c r="K10" s="320"/>
      <c r="L10" s="320"/>
      <c r="M10" s="321"/>
    </row>
    <row r="11" spans="1:17" ht="13.5" thickBot="1" x14ac:dyDescent="0.25">
      <c r="A11" s="169">
        <v>11</v>
      </c>
      <c r="B11" s="115"/>
      <c r="C11" s="121">
        <f>C10+C9</f>
        <v>1</v>
      </c>
      <c r="D11" s="122"/>
      <c r="E11" s="123"/>
      <c r="H11" s="169"/>
      <c r="I11" s="250" t="s">
        <v>102</v>
      </c>
      <c r="J11" s="251" t="s">
        <v>128</v>
      </c>
      <c r="K11" s="251" t="s">
        <v>103</v>
      </c>
      <c r="L11" s="334" t="s">
        <v>104</v>
      </c>
      <c r="M11" s="334"/>
    </row>
    <row r="12" spans="1:17" ht="13.5" thickBot="1" x14ac:dyDescent="0.25">
      <c r="A12" s="169"/>
      <c r="B12" s="127"/>
      <c r="C12" s="128"/>
      <c r="D12" s="127"/>
      <c r="E12" s="127"/>
      <c r="H12" s="169">
        <v>12</v>
      </c>
      <c r="I12" s="145" t="s">
        <v>127</v>
      </c>
      <c r="J12" s="146">
        <v>56.15</v>
      </c>
      <c r="K12" s="158" t="s">
        <v>121</v>
      </c>
      <c r="L12" s="147" t="s">
        <v>129</v>
      </c>
      <c r="M12" s="153"/>
    </row>
    <row r="13" spans="1:17" x14ac:dyDescent="0.2">
      <c r="A13" s="169"/>
      <c r="B13" s="319" t="s">
        <v>110</v>
      </c>
      <c r="C13" s="320"/>
      <c r="D13" s="320"/>
      <c r="E13" s="321"/>
      <c r="H13" s="169">
        <v>13</v>
      </c>
      <c r="I13" s="142" t="s">
        <v>40</v>
      </c>
      <c r="J13" s="148">
        <v>23.74</v>
      </c>
      <c r="K13" s="252" t="s">
        <v>121</v>
      </c>
      <c r="L13" s="149" t="s">
        <v>129</v>
      </c>
      <c r="M13" s="154"/>
    </row>
    <row r="14" spans="1:17" x14ac:dyDescent="0.2">
      <c r="A14" s="169"/>
      <c r="B14" s="107" t="s">
        <v>102</v>
      </c>
      <c r="C14" s="106" t="s">
        <v>111</v>
      </c>
      <c r="D14" s="322" t="s">
        <v>104</v>
      </c>
      <c r="E14" s="323"/>
      <c r="H14" s="169">
        <v>14</v>
      </c>
      <c r="I14" s="142" t="s">
        <v>43</v>
      </c>
      <c r="J14" s="148">
        <f>UpdatedTaxesMay/C43</f>
        <v>12.683916793505835</v>
      </c>
      <c r="K14" s="252" t="s">
        <v>121</v>
      </c>
      <c r="L14" s="149" t="str">
        <f>CONCATENATE("Updated property tax of $",UpdatedTaxesMay/1000000," million")</f>
        <v>Updated property tax of $10 million</v>
      </c>
      <c r="M14" s="154"/>
    </row>
    <row r="15" spans="1:17" x14ac:dyDescent="0.2">
      <c r="A15" s="169">
        <v>15</v>
      </c>
      <c r="B15" s="112" t="s">
        <v>64</v>
      </c>
      <c r="C15" s="124">
        <v>0.99</v>
      </c>
      <c r="D15" s="263" t="s">
        <v>105</v>
      </c>
      <c r="E15" s="114"/>
      <c r="H15" s="169">
        <v>15</v>
      </c>
      <c r="I15" s="142" t="s">
        <v>41</v>
      </c>
      <c r="J15" s="148">
        <v>3.56</v>
      </c>
      <c r="K15" s="160">
        <v>2.5000000000000001E-2</v>
      </c>
      <c r="L15" s="149" t="s">
        <v>129</v>
      </c>
      <c r="M15" s="154"/>
    </row>
    <row r="16" spans="1:17" x14ac:dyDescent="0.2">
      <c r="A16" s="169">
        <v>16</v>
      </c>
      <c r="B16" s="112" t="s">
        <v>137</v>
      </c>
      <c r="C16" s="125">
        <f>1-C15</f>
        <v>1.0000000000000009E-2</v>
      </c>
      <c r="D16" s="263" t="s">
        <v>105</v>
      </c>
      <c r="E16" s="114"/>
      <c r="H16" s="169">
        <v>16</v>
      </c>
      <c r="I16" s="258" t="s">
        <v>207</v>
      </c>
      <c r="J16" s="148">
        <v>3</v>
      </c>
      <c r="K16" s="160">
        <v>2.5000000000000001E-2</v>
      </c>
      <c r="L16" s="259" t="s">
        <v>205</v>
      </c>
      <c r="M16" s="154"/>
    </row>
    <row r="17" spans="1:17" ht="13.5" thickBot="1" x14ac:dyDescent="0.25">
      <c r="A17" s="169">
        <v>17</v>
      </c>
      <c r="B17" s="115"/>
      <c r="C17" s="126">
        <f>C16+C15</f>
        <v>1</v>
      </c>
      <c r="D17" s="122"/>
      <c r="E17" s="123"/>
      <c r="H17" s="169">
        <v>17</v>
      </c>
      <c r="I17" s="143" t="s">
        <v>42</v>
      </c>
      <c r="J17" s="150">
        <v>37.799999999999997</v>
      </c>
      <c r="K17" s="161">
        <v>2.5000000000000001E-2</v>
      </c>
      <c r="L17" s="140" t="s">
        <v>129</v>
      </c>
      <c r="M17" s="155"/>
    </row>
    <row r="18" spans="1:17" ht="13.5" thickBot="1" x14ac:dyDescent="0.25">
      <c r="A18" s="169"/>
      <c r="B18" s="127"/>
      <c r="C18" s="127"/>
      <c r="D18" s="127"/>
      <c r="E18" s="127"/>
      <c r="H18" s="169"/>
      <c r="I18" s="74"/>
      <c r="J18" s="151"/>
      <c r="K18" s="156"/>
      <c r="L18" s="156"/>
      <c r="M18" s="157"/>
    </row>
    <row r="19" spans="1:17" ht="13.5" thickBot="1" x14ac:dyDescent="0.25">
      <c r="A19" s="169"/>
      <c r="B19" s="319" t="s">
        <v>112</v>
      </c>
      <c r="C19" s="320"/>
      <c r="D19" s="320"/>
      <c r="E19" s="321"/>
      <c r="H19" s="169"/>
      <c r="I19" s="208"/>
      <c r="J19" s="148"/>
      <c r="K19" s="149"/>
      <c r="L19" s="149"/>
      <c r="M19" s="149"/>
    </row>
    <row r="20" spans="1:17" ht="13.5" customHeight="1" x14ac:dyDescent="0.2">
      <c r="A20" s="169">
        <v>20</v>
      </c>
      <c r="B20" s="109" t="s">
        <v>65</v>
      </c>
      <c r="C20" s="110">
        <v>120000000</v>
      </c>
      <c r="D20" s="324" t="s">
        <v>122</v>
      </c>
      <c r="E20" s="325"/>
      <c r="H20" s="169"/>
      <c r="I20" s="319" t="s">
        <v>176</v>
      </c>
      <c r="J20" s="320"/>
      <c r="K20" s="320"/>
      <c r="L20" s="320"/>
      <c r="M20" s="320"/>
      <c r="N20" s="321"/>
    </row>
    <row r="21" spans="1:17" ht="26.25" thickBot="1" x14ac:dyDescent="0.25">
      <c r="A21" s="169"/>
      <c r="B21" s="112"/>
      <c r="C21" s="113"/>
      <c r="D21" s="326"/>
      <c r="E21" s="327"/>
      <c r="H21" s="169"/>
      <c r="I21" s="137" t="s">
        <v>2</v>
      </c>
      <c r="J21" s="138" t="s">
        <v>58</v>
      </c>
      <c r="K21" s="188" t="str">
        <f>CONCATENATE("O&amp;M, $ ",UpdatedOandMMay/1000000," million")</f>
        <v>O&amp;M, $ 9 million</v>
      </c>
      <c r="L21" s="188" t="str">
        <f>CONCATENATE("Prop Tax, $ ",UpdatedTaxesMay/1000000," million")</f>
        <v>Prop Tax, $ 10 million</v>
      </c>
      <c r="M21" s="188" t="str">
        <f>CONCATENATE("Insurance, $ ",UpdatedInsuranceMay/1000000," million")</f>
        <v>Insurance, $ 1 million</v>
      </c>
      <c r="N21" s="189" t="s">
        <v>44</v>
      </c>
    </row>
    <row r="22" spans="1:17" ht="13.5" thickBot="1" x14ac:dyDescent="0.25">
      <c r="A22" s="169"/>
      <c r="B22" s="115"/>
      <c r="C22" s="116"/>
      <c r="D22" s="328"/>
      <c r="E22" s="329"/>
      <c r="H22" s="169">
        <v>22</v>
      </c>
      <c r="I22" s="209">
        <v>0.5</v>
      </c>
      <c r="J22" s="210">
        <f>ExpectedCapacity*I22*$C$42</f>
        <v>438000</v>
      </c>
      <c r="K22" s="211">
        <f>UpdatedOandMMay/J22</f>
        <v>20.547945205479451</v>
      </c>
      <c r="L22" s="211">
        <f>UpdatedTaxesMay/J22</f>
        <v>22.831050228310502</v>
      </c>
      <c r="M22" s="211">
        <f>UpdatedInsuranceMay/J22</f>
        <v>2.2831050228310503</v>
      </c>
      <c r="N22" s="190">
        <f>$J$7</f>
        <v>37.799999999999997</v>
      </c>
    </row>
    <row r="23" spans="1:17" ht="13.5" thickBot="1" x14ac:dyDescent="0.25">
      <c r="A23" s="169"/>
      <c r="B23" s="127"/>
      <c r="C23" s="127"/>
      <c r="D23" s="119"/>
      <c r="E23" s="119"/>
      <c r="F23" s="149"/>
      <c r="G23" s="149"/>
      <c r="H23" s="169">
        <v>23</v>
      </c>
      <c r="I23" s="212">
        <v>0.6</v>
      </c>
      <c r="J23" s="213">
        <f>ExpectedCapacity*I23*$C$42</f>
        <v>525600</v>
      </c>
      <c r="K23" s="214">
        <f>UpdatedOandMMay/J23</f>
        <v>17.123287671232877</v>
      </c>
      <c r="L23" s="214">
        <f>UpdatedTaxesMay/J23</f>
        <v>19.025875190258752</v>
      </c>
      <c r="M23" s="214">
        <f>UpdatedInsuranceMay/J23</f>
        <v>1.9025875190258752</v>
      </c>
      <c r="N23" s="191">
        <f>$J$7</f>
        <v>37.799999999999997</v>
      </c>
    </row>
    <row r="24" spans="1:17" x14ac:dyDescent="0.2">
      <c r="A24" s="169"/>
      <c r="B24" s="319" t="s">
        <v>116</v>
      </c>
      <c r="C24" s="321"/>
      <c r="D24" s="119"/>
      <c r="E24" s="254"/>
      <c r="F24" s="254"/>
      <c r="G24" s="254"/>
      <c r="H24" s="169">
        <v>24</v>
      </c>
      <c r="I24" s="212">
        <v>0.7</v>
      </c>
      <c r="J24" s="213">
        <f>ExpectedCapacity*I24*$C$42</f>
        <v>613200</v>
      </c>
      <c r="K24" s="214">
        <f>UpdatedOandMMay/J24</f>
        <v>14.677103718199609</v>
      </c>
      <c r="L24" s="214">
        <f>UpdatedTaxesMay/J24</f>
        <v>16.307893020221787</v>
      </c>
      <c r="M24" s="214">
        <f>UpdatedInsuranceMay/J24</f>
        <v>1.6307893020221786</v>
      </c>
      <c r="N24" s="191">
        <f>$J$7</f>
        <v>37.799999999999997</v>
      </c>
    </row>
    <row r="25" spans="1:17" x14ac:dyDescent="0.2">
      <c r="A25" s="169">
        <v>25</v>
      </c>
      <c r="B25" s="112" t="s">
        <v>113</v>
      </c>
      <c r="C25" s="129">
        <v>30</v>
      </c>
      <c r="D25" s="119"/>
      <c r="E25" s="119"/>
      <c r="F25" s="149"/>
      <c r="G25" s="164"/>
      <c r="H25" s="169">
        <v>25</v>
      </c>
      <c r="I25" s="212">
        <v>0.8</v>
      </c>
      <c r="J25" s="213">
        <f>ExpectedCapacity*I25*$C$42</f>
        <v>700800</v>
      </c>
      <c r="K25" s="214">
        <f>UpdatedOandMMay/J25</f>
        <v>12.842465753424657</v>
      </c>
      <c r="L25" s="214">
        <f>UpdatedTaxesMay/J25</f>
        <v>14.269406392694064</v>
      </c>
      <c r="M25" s="214">
        <f>UpdatedInsuranceMay/J25</f>
        <v>1.4269406392694064</v>
      </c>
      <c r="N25" s="191">
        <f>$J$7</f>
        <v>37.799999999999997</v>
      </c>
    </row>
    <row r="26" spans="1:17" ht="15.75" thickBot="1" x14ac:dyDescent="0.4">
      <c r="A26" s="169">
        <v>26</v>
      </c>
      <c r="B26" s="112" t="s">
        <v>114</v>
      </c>
      <c r="C26" s="129">
        <v>30</v>
      </c>
      <c r="D26" s="119"/>
      <c r="E26" s="119"/>
      <c r="F26" s="149"/>
      <c r="G26" s="165"/>
      <c r="H26" s="169">
        <v>26</v>
      </c>
      <c r="I26" s="215">
        <v>0.9</v>
      </c>
      <c r="J26" s="216">
        <f>ExpectedCapacity*I26*$C$42</f>
        <v>788400</v>
      </c>
      <c r="K26" s="217">
        <f>UpdatedOandMMay/J26</f>
        <v>11.415525114155251</v>
      </c>
      <c r="L26" s="217">
        <f>UpdatedTaxesMay/J26</f>
        <v>12.683916793505835</v>
      </c>
      <c r="M26" s="217">
        <f>UpdatedInsuranceMay/J26</f>
        <v>1.2683916793505834</v>
      </c>
      <c r="N26" s="192">
        <f>$J$7</f>
        <v>37.799999999999997</v>
      </c>
    </row>
    <row r="27" spans="1:17" ht="13.5" thickBot="1" x14ac:dyDescent="0.25">
      <c r="A27" s="169">
        <v>27</v>
      </c>
      <c r="B27" s="115" t="s">
        <v>115</v>
      </c>
      <c r="C27" s="130">
        <v>30</v>
      </c>
      <c r="D27" s="119"/>
      <c r="E27" s="119"/>
      <c r="F27" s="149"/>
      <c r="G27" s="166"/>
      <c r="H27" s="169"/>
      <c r="I27" s="185"/>
      <c r="J27" s="152"/>
      <c r="K27" s="186"/>
      <c r="L27" s="186"/>
      <c r="M27" s="187"/>
    </row>
    <row r="28" spans="1:17" ht="13.5" thickBot="1" x14ac:dyDescent="0.25">
      <c r="A28" s="169"/>
      <c r="B28" s="127"/>
      <c r="C28" s="127"/>
      <c r="D28" s="119"/>
      <c r="E28" s="119"/>
      <c r="F28" s="149"/>
      <c r="G28" s="149"/>
      <c r="H28" s="169"/>
      <c r="I28" s="162"/>
      <c r="J28" s="162"/>
      <c r="K28" s="162"/>
      <c r="L28" s="162"/>
      <c r="M28" s="162"/>
      <c r="P28" s="222"/>
    </row>
    <row r="29" spans="1:17" ht="15.75" thickBot="1" x14ac:dyDescent="0.4">
      <c r="A29" s="169"/>
      <c r="B29" s="319" t="s">
        <v>117</v>
      </c>
      <c r="C29" s="321"/>
      <c r="D29" s="119"/>
      <c r="E29" s="330"/>
      <c r="F29" s="330"/>
      <c r="G29" s="330"/>
      <c r="H29" s="169"/>
      <c r="I29" s="162"/>
      <c r="J29" s="162"/>
      <c r="K29" s="162"/>
      <c r="L29" s="162"/>
      <c r="M29" s="162"/>
      <c r="P29" s="223"/>
    </row>
    <row r="30" spans="1:17" x14ac:dyDescent="0.2">
      <c r="A30" s="169">
        <v>30</v>
      </c>
      <c r="B30" s="109" t="s">
        <v>118</v>
      </c>
      <c r="C30" s="236">
        <v>5.2999999999999999E-2</v>
      </c>
      <c r="D30" s="337"/>
      <c r="E30" s="338"/>
      <c r="F30" s="338"/>
      <c r="G30" s="166"/>
      <c r="H30" s="169"/>
      <c r="I30" s="319" t="s">
        <v>186</v>
      </c>
      <c r="J30" s="320"/>
      <c r="K30" s="320"/>
      <c r="L30" s="320"/>
      <c r="M30" s="321"/>
      <c r="P30" s="222"/>
    </row>
    <row r="31" spans="1:17" ht="15.75" thickBot="1" x14ac:dyDescent="0.4">
      <c r="A31" s="169">
        <v>31</v>
      </c>
      <c r="B31" s="112" t="s">
        <v>119</v>
      </c>
      <c r="C31" s="237">
        <v>4.8000000000000001E-2</v>
      </c>
      <c r="D31" s="337"/>
      <c r="E31" s="338"/>
      <c r="F31" s="338"/>
      <c r="G31" s="167"/>
      <c r="H31" s="169">
        <v>31</v>
      </c>
      <c r="I31" s="137"/>
      <c r="J31" s="138"/>
      <c r="K31" s="138"/>
      <c r="L31" s="334"/>
      <c r="M31" s="334"/>
      <c r="O31" s="149"/>
      <c r="P31" s="149"/>
      <c r="Q31" s="149"/>
    </row>
    <row r="32" spans="1:17" x14ac:dyDescent="0.2">
      <c r="A32" s="169">
        <v>32</v>
      </c>
      <c r="B32" s="112" t="s">
        <v>56</v>
      </c>
      <c r="C32" s="131">
        <v>4.4999999999999998E-2</v>
      </c>
      <c r="D32" s="119"/>
      <c r="E32" s="119"/>
      <c r="F32" s="149"/>
      <c r="G32" s="166"/>
      <c r="H32" s="169">
        <v>32</v>
      </c>
      <c r="I32" s="145" t="s">
        <v>187</v>
      </c>
      <c r="J32" s="146"/>
      <c r="K32" s="158"/>
      <c r="L32" s="147"/>
      <c r="M32" s="218">
        <v>0</v>
      </c>
      <c r="O32" s="330"/>
      <c r="P32" s="330"/>
      <c r="Q32" s="149"/>
    </row>
    <row r="33" spans="1:17" x14ac:dyDescent="0.2">
      <c r="A33" s="169">
        <v>33</v>
      </c>
      <c r="B33" s="112" t="s">
        <v>74</v>
      </c>
      <c r="C33" s="132">
        <v>7.0000000000000007E-2</v>
      </c>
      <c r="D33" s="119"/>
      <c r="E33" s="119"/>
      <c r="F33" s="149"/>
      <c r="G33" s="149"/>
      <c r="H33" s="169">
        <v>33</v>
      </c>
      <c r="I33" s="235" t="s">
        <v>200</v>
      </c>
      <c r="J33" s="149"/>
      <c r="K33" s="149"/>
      <c r="L33" s="149"/>
      <c r="M33" s="206">
        <v>2.5000000000000001E-2</v>
      </c>
      <c r="O33" s="149"/>
      <c r="P33" s="219"/>
      <c r="Q33" s="149"/>
    </row>
    <row r="34" spans="1:17" x14ac:dyDescent="0.2">
      <c r="A34" s="169">
        <v>34</v>
      </c>
      <c r="B34" s="112" t="s">
        <v>78</v>
      </c>
      <c r="C34" s="132">
        <v>6.5000000000000002E-2</v>
      </c>
      <c r="D34" s="119"/>
      <c r="E34" s="330"/>
      <c r="F34" s="330"/>
      <c r="G34" s="330"/>
      <c r="H34" s="169">
        <v>34</v>
      </c>
      <c r="I34" s="142" t="s">
        <v>91</v>
      </c>
      <c r="J34" s="148"/>
      <c r="K34" s="160"/>
      <c r="L34" s="149"/>
      <c r="M34" s="205">
        <v>0</v>
      </c>
      <c r="O34" s="149"/>
      <c r="P34" s="171"/>
      <c r="Q34" s="149"/>
    </row>
    <row r="35" spans="1:17" ht="15" x14ac:dyDescent="0.35">
      <c r="A35" s="169">
        <v>35</v>
      </c>
      <c r="B35" s="112" t="s">
        <v>61</v>
      </c>
      <c r="C35" s="132">
        <v>0.01</v>
      </c>
      <c r="D35" s="119"/>
      <c r="E35" s="119"/>
      <c r="F35" s="149"/>
      <c r="G35" s="166"/>
      <c r="H35" s="169">
        <v>35</v>
      </c>
      <c r="I35" s="142" t="s">
        <v>188</v>
      </c>
      <c r="J35" s="148"/>
      <c r="K35" s="240"/>
      <c r="L35" s="149"/>
      <c r="M35" s="206">
        <v>2.5000000000000001E-2</v>
      </c>
      <c r="O35" s="149"/>
      <c r="P35" s="168"/>
      <c r="Q35" s="149"/>
    </row>
    <row r="36" spans="1:17" ht="13.5" thickBot="1" x14ac:dyDescent="0.25">
      <c r="A36" s="169">
        <v>36</v>
      </c>
      <c r="B36" s="115" t="s">
        <v>185</v>
      </c>
      <c r="C36" s="117">
        <v>2.2499999999999999E-2</v>
      </c>
      <c r="D36" s="119"/>
      <c r="E36" s="119"/>
      <c r="F36" s="149"/>
      <c r="G36" s="149"/>
      <c r="H36" s="169">
        <v>36</v>
      </c>
      <c r="I36" s="142" t="s">
        <v>189</v>
      </c>
      <c r="J36" s="148"/>
      <c r="K36" s="160"/>
      <c r="L36" s="149"/>
      <c r="M36" s="207">
        <v>0</v>
      </c>
      <c r="O36" s="149"/>
      <c r="P36" s="163"/>
      <c r="Q36" s="149"/>
    </row>
    <row r="37" spans="1:17" x14ac:dyDescent="0.2">
      <c r="A37" s="169"/>
      <c r="B37" s="133"/>
      <c r="C37" s="133"/>
      <c r="D37" s="119"/>
      <c r="E37" s="119"/>
      <c r="F37" s="149"/>
      <c r="G37" s="149"/>
      <c r="H37" s="169">
        <v>37</v>
      </c>
      <c r="I37" s="142" t="s">
        <v>92</v>
      </c>
      <c r="J37" s="148"/>
      <c r="K37" s="160"/>
      <c r="L37" s="149"/>
      <c r="M37" s="241">
        <v>0</v>
      </c>
      <c r="O37" s="149"/>
      <c r="P37" s="220"/>
      <c r="Q37" s="149"/>
    </row>
    <row r="38" spans="1:17" ht="13.5" thickBot="1" x14ac:dyDescent="0.25">
      <c r="A38" s="169"/>
      <c r="B38" s="127"/>
      <c r="C38" s="127"/>
      <c r="D38" s="119"/>
      <c r="E38" s="119"/>
      <c r="F38" s="149"/>
      <c r="G38" s="149"/>
      <c r="H38" s="169">
        <v>38</v>
      </c>
      <c r="I38" s="245" t="s">
        <v>203</v>
      </c>
      <c r="J38" s="246"/>
      <c r="K38" s="149"/>
      <c r="L38" s="149"/>
      <c r="M38" s="207">
        <v>3000000</v>
      </c>
      <c r="O38" s="149"/>
      <c r="P38" s="163"/>
      <c r="Q38" s="149"/>
    </row>
    <row r="39" spans="1:17" ht="13.5" thickBot="1" x14ac:dyDescent="0.25">
      <c r="A39" s="169"/>
      <c r="B39" s="332" t="s">
        <v>163</v>
      </c>
      <c r="C39" s="333"/>
      <c r="D39" s="119"/>
      <c r="E39" s="330"/>
      <c r="F39" s="330"/>
      <c r="G39" s="330"/>
      <c r="H39" s="169">
        <v>39</v>
      </c>
      <c r="I39" s="244" t="s">
        <v>204</v>
      </c>
      <c r="J39" s="140"/>
      <c r="K39" s="140"/>
      <c r="L39" s="140"/>
      <c r="M39" s="229">
        <v>3000000</v>
      </c>
      <c r="O39" s="149"/>
      <c r="P39" s="149"/>
      <c r="Q39" s="149"/>
    </row>
    <row r="40" spans="1:17" x14ac:dyDescent="0.2">
      <c r="A40" s="169">
        <v>40</v>
      </c>
      <c r="B40" s="112" t="s">
        <v>1</v>
      </c>
      <c r="C40" s="141">
        <v>100</v>
      </c>
      <c r="D40" s="119"/>
      <c r="E40" s="149"/>
      <c r="F40" s="149"/>
      <c r="G40" s="149"/>
      <c r="H40" s="169"/>
      <c r="I40" s="319" t="s">
        <v>27</v>
      </c>
      <c r="J40" s="320"/>
      <c r="K40" s="320"/>
      <c r="L40" s="320"/>
      <c r="M40" s="321"/>
      <c r="P40" s="222"/>
    </row>
    <row r="41" spans="1:17" ht="12.75" customHeight="1" thickBot="1" x14ac:dyDescent="0.25">
      <c r="A41" s="169">
        <v>41</v>
      </c>
      <c r="B41" s="112" t="s">
        <v>162</v>
      </c>
      <c r="C41" s="262">
        <v>0.9</v>
      </c>
      <c r="D41" s="119"/>
      <c r="E41" s="119"/>
      <c r="F41" s="149"/>
      <c r="G41" s="149"/>
      <c r="H41" s="169"/>
      <c r="I41" s="335"/>
      <c r="J41" s="336"/>
      <c r="K41" s="336"/>
      <c r="L41" s="336"/>
      <c r="M41" s="334"/>
      <c r="P41" s="221"/>
    </row>
    <row r="42" spans="1:17" ht="12.75" customHeight="1" x14ac:dyDescent="0.2">
      <c r="A42" s="169">
        <v>42</v>
      </c>
      <c r="B42" s="112" t="s">
        <v>123</v>
      </c>
      <c r="C42" s="144">
        <f>24*365</f>
        <v>8760</v>
      </c>
      <c r="D42" s="119"/>
      <c r="E42" s="119"/>
      <c r="F42" s="149"/>
      <c r="G42" s="149"/>
      <c r="H42" s="169">
        <v>42</v>
      </c>
      <c r="I42" s="303" t="s">
        <v>209</v>
      </c>
      <c r="J42" s="296"/>
      <c r="K42" s="296"/>
      <c r="L42" s="296"/>
      <c r="M42" s="297"/>
      <c r="N42" s="149"/>
      <c r="O42" s="149"/>
      <c r="P42" s="149"/>
      <c r="Q42" s="149"/>
    </row>
    <row r="43" spans="1:17" ht="13.5" thickBot="1" x14ac:dyDescent="0.25">
      <c r="A43" s="169">
        <v>43</v>
      </c>
      <c r="B43" s="115" t="s">
        <v>130</v>
      </c>
      <c r="C43" s="177">
        <f>C42*C41*C40</f>
        <v>788400</v>
      </c>
      <c r="D43" s="127"/>
      <c r="E43" s="127"/>
      <c r="H43" s="169"/>
      <c r="I43" s="298"/>
      <c r="J43" s="233"/>
      <c r="K43" s="233"/>
      <c r="L43" s="233"/>
      <c r="M43" s="299"/>
      <c r="N43" s="149"/>
      <c r="O43" s="331"/>
      <c r="P43" s="331"/>
      <c r="Q43" s="149"/>
    </row>
    <row r="44" spans="1:17" ht="13.5" thickBot="1" x14ac:dyDescent="0.25">
      <c r="A44" s="169"/>
      <c r="B44" s="178"/>
      <c r="C44" s="179"/>
      <c r="D44" s="127"/>
      <c r="E44" s="127"/>
      <c r="H44" s="169"/>
      <c r="I44" s="304"/>
      <c r="J44" s="233"/>
      <c r="K44" s="233"/>
      <c r="L44" s="233"/>
      <c r="M44" s="305"/>
      <c r="N44" s="149"/>
      <c r="O44" s="159"/>
      <c r="P44" s="159"/>
      <c r="Q44" s="149"/>
    </row>
    <row r="45" spans="1:17" ht="13.5" thickBot="1" x14ac:dyDescent="0.25">
      <c r="A45" s="169">
        <v>45</v>
      </c>
      <c r="B45" s="332" t="s">
        <v>164</v>
      </c>
      <c r="C45" s="333"/>
      <c r="D45" s="127"/>
      <c r="E45" s="127"/>
      <c r="H45" s="169"/>
      <c r="I45" s="298"/>
      <c r="J45" s="233"/>
      <c r="K45" s="233"/>
      <c r="L45" s="233"/>
      <c r="M45" s="299"/>
      <c r="N45" s="149"/>
      <c r="O45" s="159"/>
      <c r="P45" s="159"/>
      <c r="Q45" s="149"/>
    </row>
    <row r="46" spans="1:17" x14ac:dyDescent="0.2">
      <c r="A46" s="169">
        <v>46</v>
      </c>
      <c r="B46" s="112" t="s">
        <v>1</v>
      </c>
      <c r="C46" s="141">
        <v>100</v>
      </c>
      <c r="D46" s="127"/>
      <c r="E46" s="127"/>
      <c r="H46" s="169"/>
      <c r="I46" s="298"/>
      <c r="J46" s="233"/>
      <c r="K46" s="233"/>
      <c r="L46" s="233"/>
      <c r="M46" s="299"/>
      <c r="N46" s="149"/>
      <c r="O46" s="159"/>
      <c r="P46" s="159"/>
      <c r="Q46" s="149"/>
    </row>
    <row r="47" spans="1:17" x14ac:dyDescent="0.2">
      <c r="A47" s="169">
        <v>47</v>
      </c>
      <c r="B47" s="112" t="s">
        <v>167</v>
      </c>
      <c r="C47" s="262">
        <v>0.9</v>
      </c>
      <c r="D47" s="127"/>
      <c r="E47" s="127"/>
      <c r="H47" s="169"/>
      <c r="I47" s="298"/>
      <c r="J47" s="233"/>
      <c r="K47" s="233"/>
      <c r="L47" s="233"/>
      <c r="M47" s="299"/>
      <c r="N47" s="149"/>
      <c r="O47" s="159"/>
      <c r="P47" s="159"/>
      <c r="Q47" s="149"/>
    </row>
    <row r="48" spans="1:17" x14ac:dyDescent="0.2">
      <c r="A48" s="169">
        <v>48</v>
      </c>
      <c r="B48" s="112" t="s">
        <v>123</v>
      </c>
      <c r="C48" s="144">
        <f>24*365</f>
        <v>8760</v>
      </c>
      <c r="D48" s="127"/>
      <c r="E48" s="127"/>
      <c r="H48" s="169"/>
      <c r="I48" s="298"/>
      <c r="J48" s="233"/>
      <c r="K48" s="233"/>
      <c r="L48" s="233"/>
      <c r="M48" s="299"/>
      <c r="N48" s="149"/>
      <c r="O48" s="159"/>
      <c r="P48" s="159"/>
      <c r="Q48" s="149"/>
    </row>
    <row r="49" spans="1:17" ht="13.5" thickBot="1" x14ac:dyDescent="0.25">
      <c r="A49" s="169">
        <v>49</v>
      </c>
      <c r="B49" s="115" t="s">
        <v>130</v>
      </c>
      <c r="C49" s="177">
        <v>0.9</v>
      </c>
      <c r="D49" s="127"/>
      <c r="E49" s="127"/>
      <c r="H49" s="169"/>
      <c r="I49" s="298"/>
      <c r="J49" s="233"/>
      <c r="K49" s="233"/>
      <c r="L49" s="233"/>
      <c r="M49" s="299"/>
      <c r="N49" s="149"/>
      <c r="O49" s="159"/>
      <c r="P49" s="159"/>
      <c r="Q49" s="149"/>
    </row>
    <row r="50" spans="1:17" x14ac:dyDescent="0.2">
      <c r="A50" s="169"/>
      <c r="B50" s="119"/>
      <c r="C50" s="173"/>
      <c r="D50" s="127"/>
      <c r="E50" s="127"/>
      <c r="H50" s="169"/>
      <c r="I50" s="298"/>
      <c r="J50" s="233"/>
      <c r="K50" s="233"/>
      <c r="L50" s="233"/>
      <c r="M50" s="299"/>
      <c r="N50" s="149"/>
      <c r="O50" s="159"/>
      <c r="P50" s="159"/>
      <c r="Q50" s="149"/>
    </row>
    <row r="51" spans="1:17" ht="13.5" thickBot="1" x14ac:dyDescent="0.25">
      <c r="A51" s="169"/>
      <c r="B51" s="133"/>
      <c r="C51" s="133"/>
      <c r="D51" s="133"/>
      <c r="E51" s="133"/>
      <c r="H51" s="169"/>
      <c r="I51" s="298"/>
      <c r="J51" s="233"/>
      <c r="K51" s="233"/>
      <c r="L51" s="233"/>
      <c r="M51" s="299"/>
      <c r="N51" s="149"/>
      <c r="O51" s="149"/>
      <c r="P51" s="149"/>
      <c r="Q51" s="149"/>
    </row>
    <row r="52" spans="1:17" ht="13.5" thickBot="1" x14ac:dyDescent="0.25">
      <c r="A52" s="169"/>
      <c r="B52" s="319" t="str">
        <f>CONCATENATE("Replacement Power Cost Assumptions, Generation Below ",C41*100,"%")</f>
        <v>Replacement Power Cost Assumptions, Generation Below 90%</v>
      </c>
      <c r="C52" s="320"/>
      <c r="D52" s="320"/>
      <c r="E52" s="321"/>
      <c r="H52" s="169"/>
      <c r="I52" s="300"/>
      <c r="J52" s="301"/>
      <c r="K52" s="301"/>
      <c r="L52" s="301"/>
      <c r="M52" s="302"/>
      <c r="N52" s="149"/>
      <c r="O52" s="149"/>
      <c r="P52" s="149"/>
      <c r="Q52" s="149"/>
    </row>
    <row r="53" spans="1:17" ht="13.5" thickBot="1" x14ac:dyDescent="0.25">
      <c r="A53" s="169"/>
      <c r="B53" s="137" t="s">
        <v>102</v>
      </c>
      <c r="C53" s="138" t="s">
        <v>124</v>
      </c>
      <c r="D53" s="138" t="s">
        <v>103</v>
      </c>
      <c r="E53" s="139" t="s">
        <v>104</v>
      </c>
      <c r="H53" s="169"/>
      <c r="I53" s="233"/>
      <c r="J53" s="233"/>
      <c r="K53" s="233"/>
      <c r="L53" s="233"/>
      <c r="M53" s="233"/>
      <c r="N53" s="149"/>
      <c r="O53" s="149"/>
      <c r="P53" s="149"/>
      <c r="Q53" s="149"/>
    </row>
    <row r="54" spans="1:17" x14ac:dyDescent="0.2">
      <c r="A54" s="169">
        <v>54</v>
      </c>
      <c r="B54" s="311" t="s">
        <v>126</v>
      </c>
      <c r="C54" s="314">
        <v>60</v>
      </c>
      <c r="D54" s="317">
        <v>2.5000000000000001E-2</v>
      </c>
      <c r="E54" s="308" t="s">
        <v>125</v>
      </c>
      <c r="H54" s="169"/>
      <c r="I54" s="233"/>
      <c r="J54" s="233"/>
      <c r="K54" s="233"/>
      <c r="L54" s="233"/>
      <c r="M54" s="233"/>
      <c r="N54" s="149"/>
      <c r="O54" s="149"/>
      <c r="P54" s="149"/>
      <c r="Q54" s="149"/>
    </row>
    <row r="55" spans="1:17" x14ac:dyDescent="0.2">
      <c r="A55" s="169">
        <v>55</v>
      </c>
      <c r="B55" s="312"/>
      <c r="C55" s="315"/>
      <c r="D55" s="318"/>
      <c r="E55" s="309"/>
      <c r="H55" s="169"/>
      <c r="I55" s="233"/>
      <c r="J55" s="233"/>
      <c r="K55" s="233"/>
      <c r="L55" s="233"/>
      <c r="M55" s="233"/>
      <c r="N55" s="149"/>
      <c r="O55" s="149"/>
      <c r="P55" s="149"/>
      <c r="Q55" s="149"/>
    </row>
    <row r="56" spans="1:17" ht="13.5" thickBot="1" x14ac:dyDescent="0.25">
      <c r="A56" s="169">
        <v>56</v>
      </c>
      <c r="B56" s="313"/>
      <c r="C56" s="316"/>
      <c r="D56" s="140"/>
      <c r="E56" s="310"/>
      <c r="H56" s="169"/>
      <c r="N56" s="149"/>
      <c r="O56" s="119"/>
      <c r="P56" s="119"/>
      <c r="Q56" s="149"/>
    </row>
    <row r="57" spans="1:17" x14ac:dyDescent="0.2">
      <c r="B57" s="133"/>
      <c r="C57" s="133"/>
      <c r="D57" s="133"/>
      <c r="E57" s="133"/>
      <c r="H57" s="169"/>
      <c r="N57" s="149"/>
      <c r="O57" s="149"/>
      <c r="P57" s="149"/>
      <c r="Q57" s="149"/>
    </row>
    <row r="58" spans="1:17" x14ac:dyDescent="0.2">
      <c r="B58" s="133"/>
      <c r="C58" s="133"/>
      <c r="D58" s="133"/>
      <c r="E58" s="133"/>
      <c r="H58" s="169"/>
      <c r="N58" s="149"/>
      <c r="O58" s="149"/>
      <c r="P58" s="149"/>
      <c r="Q58" s="149"/>
    </row>
    <row r="59" spans="1:17" x14ac:dyDescent="0.2">
      <c r="B59" s="133"/>
      <c r="C59" s="133"/>
      <c r="D59" s="133"/>
      <c r="E59" s="133"/>
      <c r="H59" s="169"/>
      <c r="N59" s="149"/>
      <c r="O59" s="149"/>
      <c r="P59" s="149"/>
      <c r="Q59" s="149"/>
    </row>
    <row r="60" spans="1:17" x14ac:dyDescent="0.2">
      <c r="B60" s="133"/>
      <c r="C60" s="133"/>
      <c r="D60" s="133"/>
      <c r="E60" s="133"/>
      <c r="H60" s="169"/>
      <c r="N60" s="149"/>
      <c r="O60" s="149"/>
      <c r="P60" s="149"/>
      <c r="Q60" s="149"/>
    </row>
    <row r="61" spans="1:17" x14ac:dyDescent="0.2">
      <c r="B61" s="133"/>
      <c r="C61" s="133"/>
      <c r="D61" s="133"/>
      <c r="E61" s="133"/>
      <c r="H61" s="169"/>
      <c r="N61" s="149"/>
      <c r="O61" s="149"/>
      <c r="P61" s="149"/>
      <c r="Q61" s="149"/>
    </row>
    <row r="62" spans="1:17" x14ac:dyDescent="0.2">
      <c r="B62" s="133"/>
      <c r="C62" s="133"/>
      <c r="D62" s="133"/>
      <c r="E62" s="133"/>
      <c r="H62" s="169"/>
    </row>
    <row r="63" spans="1:17" x14ac:dyDescent="0.2">
      <c r="B63" s="133"/>
      <c r="C63" s="133"/>
      <c r="D63" s="133"/>
      <c r="E63" s="133"/>
      <c r="H63" s="169"/>
    </row>
    <row r="64" spans="1:17" x14ac:dyDescent="0.2">
      <c r="B64" s="133"/>
      <c r="C64" s="133"/>
      <c r="D64" s="133"/>
      <c r="E64" s="133"/>
      <c r="H64" s="169"/>
    </row>
    <row r="65" spans="2:8" x14ac:dyDescent="0.2">
      <c r="B65" s="133"/>
      <c r="C65" s="133"/>
      <c r="D65" s="133"/>
      <c r="E65" s="133"/>
      <c r="H65" s="169"/>
    </row>
    <row r="66" spans="2:8" x14ac:dyDescent="0.2">
      <c r="B66" s="133"/>
      <c r="C66" s="133"/>
      <c r="D66" s="133"/>
      <c r="E66" s="133"/>
    </row>
  </sheetData>
  <sortState ref="I22:N26">
    <sortCondition ref="I22:I26"/>
  </sortState>
  <mergeCells count="30">
    <mergeCell ref="I1:M1"/>
    <mergeCell ref="L2:M2"/>
    <mergeCell ref="E34:G34"/>
    <mergeCell ref="E39:G39"/>
    <mergeCell ref="B45:C45"/>
    <mergeCell ref="I30:M30"/>
    <mergeCell ref="L31:M31"/>
    <mergeCell ref="I20:N20"/>
    <mergeCell ref="I10:M10"/>
    <mergeCell ref="L11:M11"/>
    <mergeCell ref="I40:M41"/>
    <mergeCell ref="D30:F31"/>
    <mergeCell ref="O43:P43"/>
    <mergeCell ref="B39:C39"/>
    <mergeCell ref="B24:C24"/>
    <mergeCell ref="B29:C29"/>
    <mergeCell ref="O32:P32"/>
    <mergeCell ref="E54:E56"/>
    <mergeCell ref="B54:B56"/>
    <mergeCell ref="C54:C56"/>
    <mergeCell ref="D54:D55"/>
    <mergeCell ref="B1:E1"/>
    <mergeCell ref="B7:E7"/>
    <mergeCell ref="D8:E8"/>
    <mergeCell ref="B13:E13"/>
    <mergeCell ref="D14:E14"/>
    <mergeCell ref="B19:E19"/>
    <mergeCell ref="D20:E22"/>
    <mergeCell ref="E29:G29"/>
    <mergeCell ref="B52:E52"/>
  </mergeCells>
  <pageMargins left="0.7" right="0.7" top="0.75" bottom="0.75" header="0.3" footer="0.3"/>
  <pageSetup scale="80" orientation="portrait" r:id="rId1"/>
  <headerFooter>
    <oddHeader xml:space="preserve">&amp;CDraft  Model Assumptions (Inputs)
As of Thursday, September 19, 2013 </oddHeader>
    <oddFooter>&amp;CDraft  Model Assumptions (Inputs), As of Thursday, September 19, 2013,  Page &amp;P</oddFooter>
  </headerFooter>
  <colBreaks count="2" manualBreakCount="2">
    <brk id="7" max="1048575" man="1"/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312"/>
  <sheetViews>
    <sheetView topLeftCell="A20" zoomScaleNormal="100" workbookViewId="0">
      <selection activeCell="E43" sqref="E43"/>
    </sheetView>
  </sheetViews>
  <sheetFormatPr defaultRowHeight="12.75" x14ac:dyDescent="0.2"/>
  <cols>
    <col min="1" max="1" width="14.5" style="169" bestFit="1" customWidth="1"/>
    <col min="2" max="2" width="15.5" style="71" customWidth="1"/>
    <col min="3" max="4" width="17.6640625" style="133" bestFit="1" customWidth="1"/>
    <col min="5" max="12" width="17.6640625" style="133" customWidth="1"/>
    <col min="13" max="33" width="17.6640625" style="71" customWidth="1"/>
    <col min="34" max="35" width="9.33203125" style="133"/>
    <col min="36" max="16384" width="9.33203125" style="71"/>
  </cols>
  <sheetData>
    <row r="1" spans="1:33" ht="13.5" thickBot="1" x14ac:dyDescent="0.25">
      <c r="A1" s="169" t="s">
        <v>142</v>
      </c>
      <c r="D1" s="71"/>
      <c r="E1" s="340" t="s">
        <v>211</v>
      </c>
      <c r="F1" s="341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3" x14ac:dyDescent="0.2">
      <c r="A2" s="169">
        <v>2</v>
      </c>
      <c r="B2" s="342" t="s">
        <v>175</v>
      </c>
      <c r="C2" s="343"/>
      <c r="D2" s="344"/>
      <c r="E2" s="266"/>
      <c r="F2" s="267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3" ht="15.75" thickBot="1" x14ac:dyDescent="0.3">
      <c r="A3" s="169">
        <v>3</v>
      </c>
      <c r="B3" s="224" t="s">
        <v>133</v>
      </c>
      <c r="C3" s="225"/>
      <c r="D3" s="225"/>
      <c r="E3" s="264">
        <v>0</v>
      </c>
      <c r="F3" s="265" t="s">
        <v>190</v>
      </c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</row>
    <row r="4" spans="1:33" ht="15" x14ac:dyDescent="0.35">
      <c r="A4" s="169">
        <v>4</v>
      </c>
      <c r="B4" s="112" t="s">
        <v>134</v>
      </c>
      <c r="C4" s="149"/>
      <c r="D4" s="149"/>
      <c r="E4" s="165">
        <f>Updated1603GrantMay</f>
        <v>120000000</v>
      </c>
      <c r="F4" s="154" t="s">
        <v>143</v>
      </c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</row>
    <row r="5" spans="1:33" x14ac:dyDescent="0.2">
      <c r="A5" s="169">
        <v>5</v>
      </c>
      <c r="B5" s="112" t="s">
        <v>135</v>
      </c>
      <c r="C5" s="149"/>
      <c r="D5" s="149"/>
      <c r="E5" s="166">
        <f>E3-E4</f>
        <v>-120000000</v>
      </c>
      <c r="F5" s="154" t="s">
        <v>144</v>
      </c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</row>
    <row r="6" spans="1:33" x14ac:dyDescent="0.2">
      <c r="B6" s="112"/>
      <c r="C6" s="149"/>
      <c r="D6" s="149"/>
      <c r="E6" s="149"/>
      <c r="F6" s="154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</row>
    <row r="7" spans="1:33" x14ac:dyDescent="0.2">
      <c r="B7" s="339" t="s">
        <v>132</v>
      </c>
      <c r="C7" s="322"/>
      <c r="D7" s="322"/>
      <c r="E7" s="322"/>
      <c r="F7" s="32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</row>
    <row r="8" spans="1:33" x14ac:dyDescent="0.2">
      <c r="A8" s="169">
        <v>8</v>
      </c>
      <c r="B8" s="112" t="s">
        <v>63</v>
      </c>
      <c r="C8" s="149"/>
      <c r="D8" s="149"/>
      <c r="E8" s="166">
        <f>E5*Prepaypartofstructure</f>
        <v>-96000000</v>
      </c>
      <c r="F8" s="154" t="s">
        <v>144</v>
      </c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</row>
    <row r="9" spans="1:33" ht="15" x14ac:dyDescent="0.35">
      <c r="A9" s="169">
        <v>9</v>
      </c>
      <c r="B9" s="112" t="s">
        <v>31</v>
      </c>
      <c r="C9" s="149"/>
      <c r="D9" s="149"/>
      <c r="E9" s="167">
        <f>E5*Equitypartofstructure</f>
        <v>-23999999.999999996</v>
      </c>
      <c r="F9" s="154" t="s">
        <v>144</v>
      </c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</row>
    <row r="10" spans="1:33" x14ac:dyDescent="0.2">
      <c r="B10" s="112"/>
      <c r="C10" s="149"/>
      <c r="D10" s="149"/>
      <c r="E10" s="166">
        <f>E9+E8</f>
        <v>-120000000</v>
      </c>
      <c r="F10" s="154" t="s">
        <v>145</v>
      </c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</row>
    <row r="11" spans="1:33" x14ac:dyDescent="0.2">
      <c r="B11" s="112"/>
      <c r="C11" s="149"/>
      <c r="D11" s="149"/>
      <c r="E11" s="149"/>
      <c r="F11" s="154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</row>
    <row r="12" spans="1:33" x14ac:dyDescent="0.2">
      <c r="B12" s="339" t="s">
        <v>136</v>
      </c>
      <c r="C12" s="322"/>
      <c r="D12" s="322"/>
      <c r="E12" s="322"/>
      <c r="F12" s="32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</row>
    <row r="13" spans="1:33" x14ac:dyDescent="0.2">
      <c r="A13" s="169">
        <v>13</v>
      </c>
      <c r="B13" s="112" t="s">
        <v>64</v>
      </c>
      <c r="C13" s="149"/>
      <c r="D13" s="149"/>
      <c r="E13" s="166">
        <f>E9*GRUPercentEquity</f>
        <v>-23759999.999999996</v>
      </c>
      <c r="F13" s="154" t="s">
        <v>144</v>
      </c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</row>
    <row r="14" spans="1:33" ht="15" x14ac:dyDescent="0.35">
      <c r="A14" s="169">
        <v>14</v>
      </c>
      <c r="B14" s="112" t="s">
        <v>137</v>
      </c>
      <c r="C14" s="149"/>
      <c r="D14" s="149"/>
      <c r="E14" s="168">
        <f>E9*taxablepercentequity</f>
        <v>-240000.00000000017</v>
      </c>
      <c r="F14" s="154" t="s">
        <v>144</v>
      </c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</row>
    <row r="15" spans="1:33" x14ac:dyDescent="0.2">
      <c r="B15" s="112"/>
      <c r="C15" s="149"/>
      <c r="D15" s="149"/>
      <c r="E15" s="163">
        <f>E14+E13</f>
        <v>-23999999.999999996</v>
      </c>
      <c r="F15" s="154" t="s">
        <v>145</v>
      </c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</row>
    <row r="16" spans="1:33" x14ac:dyDescent="0.2">
      <c r="B16" s="112"/>
      <c r="C16" s="149"/>
      <c r="D16" s="149"/>
      <c r="E16" s="149"/>
      <c r="F16" s="154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</row>
    <row r="17" spans="1:35" x14ac:dyDescent="0.2">
      <c r="B17" s="339" t="s">
        <v>138</v>
      </c>
      <c r="C17" s="322"/>
      <c r="D17" s="322"/>
      <c r="E17" s="322"/>
      <c r="F17" s="32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</row>
    <row r="18" spans="1:35" x14ac:dyDescent="0.2">
      <c r="A18" s="169">
        <v>18</v>
      </c>
      <c r="B18" s="72" t="s">
        <v>139</v>
      </c>
      <c r="C18" s="149"/>
      <c r="D18" s="149"/>
      <c r="E18" s="171">
        <f>E8/(1-COIUDPercent)</f>
        <v>-96969696.969696969</v>
      </c>
      <c r="F18" s="154" t="s">
        <v>144</v>
      </c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</row>
    <row r="19" spans="1:35" x14ac:dyDescent="0.2">
      <c r="A19" s="169">
        <v>19</v>
      </c>
      <c r="B19" s="112" t="s">
        <v>140</v>
      </c>
      <c r="C19" s="149"/>
      <c r="D19" s="149"/>
      <c r="E19" s="171">
        <f>-PMT(prepayrate,prepayTerm,E18,0)</f>
        <v>-6164939.8442916125</v>
      </c>
      <c r="F19" s="154" t="s">
        <v>144</v>
      </c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</row>
    <row r="20" spans="1:35" x14ac:dyDescent="0.2">
      <c r="B20" s="112"/>
      <c r="C20" s="149"/>
      <c r="D20" s="149"/>
      <c r="E20" s="149"/>
      <c r="F20" s="154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</row>
    <row r="21" spans="1:35" x14ac:dyDescent="0.2">
      <c r="A21" s="169">
        <v>21</v>
      </c>
      <c r="B21" s="112" t="s">
        <v>141</v>
      </c>
      <c r="C21" s="149"/>
      <c r="D21" s="149"/>
      <c r="E21" s="171">
        <f>E13/(1-COIUDPercent)</f>
        <v>-23999999.999999996</v>
      </c>
      <c r="F21" s="154" t="s">
        <v>144</v>
      </c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</row>
    <row r="22" spans="1:35" ht="13.5" thickBot="1" x14ac:dyDescent="0.25">
      <c r="A22" s="169">
        <v>22</v>
      </c>
      <c r="B22" s="115" t="s">
        <v>140</v>
      </c>
      <c r="C22" s="140"/>
      <c r="D22" s="140"/>
      <c r="E22" s="172">
        <f>-PMT(equityrate,equityTerm,'Purchase Price and DS Calcs'!E21,0)</f>
        <v>-1615027.3475376384</v>
      </c>
      <c r="F22" s="155" t="s">
        <v>144</v>
      </c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</row>
    <row r="23" spans="1:35" s="133" customFormat="1" x14ac:dyDescent="0.2">
      <c r="A23" s="169"/>
    </row>
    <row r="24" spans="1:35" s="133" customFormat="1" x14ac:dyDescent="0.2">
      <c r="A24" s="226" t="s">
        <v>191</v>
      </c>
      <c r="G24" s="226" t="s">
        <v>191</v>
      </c>
      <c r="M24" s="226" t="s">
        <v>191</v>
      </c>
      <c r="S24" s="226" t="s">
        <v>191</v>
      </c>
      <c r="Y24" s="226" t="s">
        <v>191</v>
      </c>
      <c r="AE24" s="226" t="s">
        <v>191</v>
      </c>
    </row>
    <row r="25" spans="1:35" s="1" customFormat="1" x14ac:dyDescent="0.2">
      <c r="A25" s="196"/>
      <c r="B25" s="197"/>
      <c r="C25" s="23" t="s">
        <v>12</v>
      </c>
      <c r="D25" s="24">
        <v>1</v>
      </c>
      <c r="E25" s="24">
        <f>+D25+1</f>
        <v>2</v>
      </c>
      <c r="F25" s="24">
        <f t="shared" ref="F25:U26" si="0">+E25+1</f>
        <v>3</v>
      </c>
      <c r="G25" s="24">
        <f t="shared" si="0"/>
        <v>4</v>
      </c>
      <c r="H25" s="24">
        <f t="shared" si="0"/>
        <v>5</v>
      </c>
      <c r="I25" s="24">
        <f t="shared" si="0"/>
        <v>6</v>
      </c>
      <c r="J25" s="24">
        <f t="shared" si="0"/>
        <v>7</v>
      </c>
      <c r="K25" s="24">
        <f t="shared" si="0"/>
        <v>8</v>
      </c>
      <c r="L25" s="24">
        <f t="shared" si="0"/>
        <v>9</v>
      </c>
      <c r="M25" s="24">
        <f t="shared" si="0"/>
        <v>10</v>
      </c>
      <c r="N25" s="24">
        <f t="shared" si="0"/>
        <v>11</v>
      </c>
      <c r="O25" s="24">
        <f t="shared" si="0"/>
        <v>12</v>
      </c>
      <c r="P25" s="24">
        <f t="shared" si="0"/>
        <v>13</v>
      </c>
      <c r="Q25" s="24">
        <f t="shared" si="0"/>
        <v>14</v>
      </c>
      <c r="R25" s="24">
        <f t="shared" si="0"/>
        <v>15</v>
      </c>
      <c r="S25" s="24">
        <f t="shared" si="0"/>
        <v>16</v>
      </c>
      <c r="T25" s="24">
        <f t="shared" si="0"/>
        <v>17</v>
      </c>
      <c r="U25" s="24">
        <f t="shared" si="0"/>
        <v>18</v>
      </c>
      <c r="V25" s="24">
        <f t="shared" ref="V25:AG26" si="1">+U25+1</f>
        <v>19</v>
      </c>
      <c r="W25" s="24">
        <f t="shared" si="1"/>
        <v>20</v>
      </c>
      <c r="X25" s="24">
        <f t="shared" si="1"/>
        <v>21</v>
      </c>
      <c r="Y25" s="24">
        <f t="shared" si="1"/>
        <v>22</v>
      </c>
      <c r="Z25" s="24">
        <f t="shared" si="1"/>
        <v>23</v>
      </c>
      <c r="AA25" s="24">
        <f t="shared" si="1"/>
        <v>24</v>
      </c>
      <c r="AB25" s="24">
        <f t="shared" si="1"/>
        <v>25</v>
      </c>
      <c r="AC25" s="24">
        <f t="shared" si="1"/>
        <v>26</v>
      </c>
      <c r="AD25" s="24">
        <f t="shared" si="1"/>
        <v>27</v>
      </c>
      <c r="AE25" s="24">
        <f t="shared" si="1"/>
        <v>28</v>
      </c>
      <c r="AF25" s="24">
        <f t="shared" si="1"/>
        <v>29</v>
      </c>
      <c r="AG25" s="24">
        <f t="shared" si="1"/>
        <v>30</v>
      </c>
      <c r="AH25" s="227"/>
      <c r="AI25" s="227"/>
    </row>
    <row r="26" spans="1:35" s="1" customFormat="1" x14ac:dyDescent="0.2">
      <c r="A26" s="198"/>
      <c r="B26" s="197"/>
      <c r="C26" s="23" t="s">
        <v>29</v>
      </c>
      <c r="D26" s="24">
        <v>2014</v>
      </c>
      <c r="E26" s="24">
        <f>+D26+1</f>
        <v>2015</v>
      </c>
      <c r="F26" s="24">
        <f t="shared" si="0"/>
        <v>2016</v>
      </c>
      <c r="G26" s="24">
        <f t="shared" si="0"/>
        <v>2017</v>
      </c>
      <c r="H26" s="24">
        <f t="shared" si="0"/>
        <v>2018</v>
      </c>
      <c r="I26" s="24">
        <f t="shared" si="0"/>
        <v>2019</v>
      </c>
      <c r="J26" s="24">
        <f t="shared" si="0"/>
        <v>2020</v>
      </c>
      <c r="K26" s="24">
        <f t="shared" si="0"/>
        <v>2021</v>
      </c>
      <c r="L26" s="24">
        <f t="shared" si="0"/>
        <v>2022</v>
      </c>
      <c r="M26" s="24">
        <f t="shared" si="0"/>
        <v>2023</v>
      </c>
      <c r="N26" s="24">
        <f t="shared" si="0"/>
        <v>2024</v>
      </c>
      <c r="O26" s="24">
        <f t="shared" si="0"/>
        <v>2025</v>
      </c>
      <c r="P26" s="24">
        <f t="shared" si="0"/>
        <v>2026</v>
      </c>
      <c r="Q26" s="24">
        <f t="shared" si="0"/>
        <v>2027</v>
      </c>
      <c r="R26" s="24">
        <f t="shared" si="0"/>
        <v>2028</v>
      </c>
      <c r="S26" s="24">
        <f t="shared" si="0"/>
        <v>2029</v>
      </c>
      <c r="T26" s="24">
        <f t="shared" si="0"/>
        <v>2030</v>
      </c>
      <c r="U26" s="24">
        <f t="shared" si="0"/>
        <v>2031</v>
      </c>
      <c r="V26" s="24">
        <f t="shared" si="1"/>
        <v>2032</v>
      </c>
      <c r="W26" s="24">
        <f t="shared" si="1"/>
        <v>2033</v>
      </c>
      <c r="X26" s="24">
        <f t="shared" si="1"/>
        <v>2034</v>
      </c>
      <c r="Y26" s="24">
        <f t="shared" si="1"/>
        <v>2035</v>
      </c>
      <c r="Z26" s="24">
        <f t="shared" si="1"/>
        <v>2036</v>
      </c>
      <c r="AA26" s="24">
        <f t="shared" si="1"/>
        <v>2037</v>
      </c>
      <c r="AB26" s="24">
        <f t="shared" si="1"/>
        <v>2038</v>
      </c>
      <c r="AC26" s="24">
        <f t="shared" si="1"/>
        <v>2039</v>
      </c>
      <c r="AD26" s="24">
        <f t="shared" si="1"/>
        <v>2040</v>
      </c>
      <c r="AE26" s="24">
        <f t="shared" si="1"/>
        <v>2041</v>
      </c>
      <c r="AF26" s="24">
        <f t="shared" si="1"/>
        <v>2042</v>
      </c>
      <c r="AG26" s="24">
        <f t="shared" si="1"/>
        <v>2043</v>
      </c>
      <c r="AH26" s="227"/>
      <c r="AI26" s="227"/>
    </row>
    <row r="27" spans="1:35" s="133" customFormat="1" x14ac:dyDescent="0.2">
      <c r="A27" s="200">
        <f>prepayrate</f>
        <v>4.8000000000000001E-2</v>
      </c>
      <c r="C27" s="133" t="s">
        <v>70</v>
      </c>
      <c r="D27" s="199">
        <f>E18</f>
        <v>-96969696.969696969</v>
      </c>
      <c r="E27" s="199">
        <f>D31</f>
        <v>-95459302.579950809</v>
      </c>
      <c r="F27" s="199">
        <f t="shared" ref="F27:AG27" si="2">E31</f>
        <v>-93876409.259496838</v>
      </c>
      <c r="G27" s="199">
        <f t="shared" si="2"/>
        <v>-92217537.059661075</v>
      </c>
      <c r="H27" s="199">
        <f t="shared" si="2"/>
        <v>-90479038.994233191</v>
      </c>
      <c r="I27" s="199">
        <f t="shared" si="2"/>
        <v>-88657093.021664768</v>
      </c>
      <c r="J27" s="199">
        <f t="shared" si="2"/>
        <v>-86747693.642413065</v>
      </c>
      <c r="K27" s="199">
        <f t="shared" si="2"/>
        <v>-84746643.092957273</v>
      </c>
      <c r="L27" s="199">
        <f t="shared" si="2"/>
        <v>-82649542.117127612</v>
      </c>
      <c r="M27" s="199">
        <f t="shared" si="2"/>
        <v>-80451780.294458121</v>
      </c>
      <c r="N27" s="199">
        <f t="shared" si="2"/>
        <v>-78148525.904300496</v>
      </c>
      <c r="O27" s="199">
        <f t="shared" si="2"/>
        <v>-75734715.303415313</v>
      </c>
      <c r="P27" s="199">
        <f t="shared" si="2"/>
        <v>-73205041.793687642</v>
      </c>
      <c r="Q27" s="199">
        <f t="shared" si="2"/>
        <v>-70553943.955493033</v>
      </c>
      <c r="R27" s="199">
        <f t="shared" si="2"/>
        <v>-67775593.421065092</v>
      </c>
      <c r="S27" s="199">
        <f t="shared" si="2"/>
        <v>-64863882.060984604</v>
      </c>
      <c r="T27" s="199">
        <f t="shared" si="2"/>
        <v>-61812408.555620253</v>
      </c>
      <c r="U27" s="199">
        <f t="shared" si="2"/>
        <v>-58614464.32199841</v>
      </c>
      <c r="V27" s="199">
        <f t="shared" si="2"/>
        <v>-55263018.765162721</v>
      </c>
      <c r="W27" s="199">
        <f t="shared" si="2"/>
        <v>-51750703.821598917</v>
      </c>
      <c r="X27" s="199">
        <f t="shared" si="2"/>
        <v>-48069797.76074405</v>
      </c>
      <c r="Y27" s="199">
        <f t="shared" si="2"/>
        <v>-44212208.208968155</v>
      </c>
      <c r="Z27" s="199">
        <f t="shared" si="2"/>
        <v>-40169454.358707011</v>
      </c>
      <c r="AA27" s="199">
        <f t="shared" si="2"/>
        <v>-35932648.323633336</v>
      </c>
      <c r="AB27" s="199">
        <f t="shared" si="2"/>
        <v>-31492475.598876122</v>
      </c>
      <c r="AC27" s="199">
        <f t="shared" si="2"/>
        <v>-26839174.583330564</v>
      </c>
      <c r="AD27" s="199">
        <f t="shared" si="2"/>
        <v>-21962515.11903882</v>
      </c>
      <c r="AE27" s="199">
        <f t="shared" si="2"/>
        <v>-16851776.000461072</v>
      </c>
      <c r="AF27" s="199">
        <f t="shared" si="2"/>
        <v>-11495721.404191591</v>
      </c>
      <c r="AG27" s="199">
        <f t="shared" si="2"/>
        <v>-5882576.1873011747</v>
      </c>
    </row>
    <row r="28" spans="1:35" s="133" customFormat="1" x14ac:dyDescent="0.2">
      <c r="A28" s="201"/>
      <c r="C28" s="133" t="s">
        <v>19</v>
      </c>
      <c r="D28" s="199">
        <f t="shared" ref="D28:AG28" si="3">IF(D25&lt;=prepayTerm,D27*$A$27,0)</f>
        <v>-4654545.4545454551</v>
      </c>
      <c r="E28" s="199">
        <f t="shared" si="3"/>
        <v>-4582046.523837639</v>
      </c>
      <c r="F28" s="199">
        <f t="shared" si="3"/>
        <v>-4506067.6444558483</v>
      </c>
      <c r="G28" s="199">
        <f t="shared" si="3"/>
        <v>-4426441.7788637318</v>
      </c>
      <c r="H28" s="199">
        <f t="shared" si="3"/>
        <v>-4342993.8717231937</v>
      </c>
      <c r="I28" s="199">
        <f t="shared" si="3"/>
        <v>-4255540.4650399089</v>
      </c>
      <c r="J28" s="199">
        <f t="shared" si="3"/>
        <v>-4163889.2948358273</v>
      </c>
      <c r="K28" s="199">
        <f t="shared" si="3"/>
        <v>-4067838.8684619493</v>
      </c>
      <c r="L28" s="199">
        <f t="shared" si="3"/>
        <v>-3967178.0216221255</v>
      </c>
      <c r="M28" s="199">
        <f t="shared" si="3"/>
        <v>-3861685.4541339898</v>
      </c>
      <c r="N28" s="199">
        <f t="shared" si="3"/>
        <v>-3751129.2434064238</v>
      </c>
      <c r="O28" s="199">
        <f t="shared" si="3"/>
        <v>-3635266.3345639352</v>
      </c>
      <c r="P28" s="199">
        <f t="shared" si="3"/>
        <v>-3513842.0060970071</v>
      </c>
      <c r="Q28" s="199">
        <f t="shared" si="3"/>
        <v>-3386589.3098636656</v>
      </c>
      <c r="R28" s="199">
        <f t="shared" si="3"/>
        <v>-3253228.4842111245</v>
      </c>
      <c r="S28" s="199">
        <f t="shared" si="3"/>
        <v>-3113466.3389272611</v>
      </c>
      <c r="T28" s="199">
        <f t="shared" si="3"/>
        <v>-2966995.6106697721</v>
      </c>
      <c r="U28" s="199">
        <f t="shared" si="3"/>
        <v>-2813494.2874559239</v>
      </c>
      <c r="V28" s="199">
        <f t="shared" si="3"/>
        <v>-2652624.9007278108</v>
      </c>
      <c r="W28" s="199">
        <f t="shared" si="3"/>
        <v>-2484033.7834367482</v>
      </c>
      <c r="X28" s="199">
        <f t="shared" si="3"/>
        <v>-2307350.2925157147</v>
      </c>
      <c r="Y28" s="199">
        <f t="shared" si="3"/>
        <v>-2122185.9940304714</v>
      </c>
      <c r="Z28" s="199">
        <f t="shared" si="3"/>
        <v>-1928133.8092179366</v>
      </c>
      <c r="AA28" s="199">
        <f t="shared" si="3"/>
        <v>-1724767.1195344001</v>
      </c>
      <c r="AB28" s="199">
        <f t="shared" si="3"/>
        <v>-1511638.8287460539</v>
      </c>
      <c r="AC28" s="199">
        <f t="shared" si="3"/>
        <v>-1288280.3799998672</v>
      </c>
      <c r="AD28" s="199">
        <f t="shared" si="3"/>
        <v>-1054200.7257138635</v>
      </c>
      <c r="AE28" s="199">
        <f t="shared" si="3"/>
        <v>-808885.24802213151</v>
      </c>
      <c r="AF28" s="199">
        <f t="shared" si="3"/>
        <v>-551794.6274011964</v>
      </c>
      <c r="AG28" s="199">
        <f t="shared" si="3"/>
        <v>-282363.65699045639</v>
      </c>
    </row>
    <row r="29" spans="1:35" s="133" customFormat="1" x14ac:dyDescent="0.2">
      <c r="A29" s="169"/>
      <c r="C29" s="133" t="s">
        <v>18</v>
      </c>
      <c r="D29" s="199">
        <f t="shared" ref="D29:AG29" si="4">IF(D25&lt;=prepayTerm,D30-D28,0)</f>
        <v>-1510394.3897461575</v>
      </c>
      <c r="E29" s="199">
        <f t="shared" si="4"/>
        <v>-1582893.3204539735</v>
      </c>
      <c r="F29" s="199">
        <f t="shared" si="4"/>
        <v>-1658872.1998357642</v>
      </c>
      <c r="G29" s="199">
        <f t="shared" si="4"/>
        <v>-1738498.0654278807</v>
      </c>
      <c r="H29" s="199">
        <f t="shared" si="4"/>
        <v>-1821945.9725684188</v>
      </c>
      <c r="I29" s="199">
        <f t="shared" si="4"/>
        <v>-1909399.3792517036</v>
      </c>
      <c r="J29" s="199">
        <f t="shared" si="4"/>
        <v>-2001050.5494557852</v>
      </c>
      <c r="K29" s="199">
        <f t="shared" si="4"/>
        <v>-2097100.9758296632</v>
      </c>
      <c r="L29" s="199">
        <f t="shared" si="4"/>
        <v>-2197761.822669487</v>
      </c>
      <c r="M29" s="199">
        <f t="shared" si="4"/>
        <v>-2303254.3901576228</v>
      </c>
      <c r="N29" s="199">
        <f t="shared" si="4"/>
        <v>-2413810.6008851887</v>
      </c>
      <c r="O29" s="199">
        <f t="shared" si="4"/>
        <v>-2529673.5097276773</v>
      </c>
      <c r="P29" s="199">
        <f t="shared" si="4"/>
        <v>-2651097.8381946054</v>
      </c>
      <c r="Q29" s="199">
        <f t="shared" si="4"/>
        <v>-2778350.5344279469</v>
      </c>
      <c r="R29" s="199">
        <f t="shared" si="4"/>
        <v>-2911711.360080488</v>
      </c>
      <c r="S29" s="199">
        <f t="shared" si="4"/>
        <v>-3051473.5053643514</v>
      </c>
      <c r="T29" s="199">
        <f t="shared" si="4"/>
        <v>-3197944.2336218404</v>
      </c>
      <c r="U29" s="199">
        <f t="shared" si="4"/>
        <v>-3351445.5568356887</v>
      </c>
      <c r="V29" s="199">
        <f t="shared" si="4"/>
        <v>-3512314.9435638017</v>
      </c>
      <c r="W29" s="199">
        <f t="shared" si="4"/>
        <v>-3680906.0608548643</v>
      </c>
      <c r="X29" s="199">
        <f t="shared" si="4"/>
        <v>-3857589.5517758979</v>
      </c>
      <c r="Y29" s="199">
        <f t="shared" si="4"/>
        <v>-4042753.8502611411</v>
      </c>
      <c r="Z29" s="199">
        <f t="shared" si="4"/>
        <v>-4236806.0350736761</v>
      </c>
      <c r="AA29" s="199">
        <f t="shared" si="4"/>
        <v>-4440172.7247572122</v>
      </c>
      <c r="AB29" s="199">
        <f t="shared" si="4"/>
        <v>-4653301.0155455582</v>
      </c>
      <c r="AC29" s="199">
        <f t="shared" si="4"/>
        <v>-4876659.4642917458</v>
      </c>
      <c r="AD29" s="199">
        <f t="shared" si="4"/>
        <v>-5110739.1185777485</v>
      </c>
      <c r="AE29" s="199">
        <f t="shared" si="4"/>
        <v>-5356054.5962694809</v>
      </c>
      <c r="AF29" s="199">
        <f t="shared" si="4"/>
        <v>-5613145.2168904161</v>
      </c>
      <c r="AG29" s="199">
        <f t="shared" si="4"/>
        <v>-5882576.1873011561</v>
      </c>
    </row>
    <row r="30" spans="1:35" s="133" customFormat="1" x14ac:dyDescent="0.2">
      <c r="A30" s="169"/>
      <c r="C30" s="133" t="s">
        <v>21</v>
      </c>
      <c r="D30" s="199">
        <f>IF(D25&lt;=prepayTerm,-PMT(prepayrate,prepayTerm,'Purchase Price and DS Calcs'!$E$18,0),0)</f>
        <v>-6164939.8442916125</v>
      </c>
      <c r="E30" s="199">
        <f>IF(E25&lt;=prepayTerm,-PMT(prepayrate,prepayTerm,'Purchase Price and DS Calcs'!$E$18,0),0)</f>
        <v>-6164939.8442916125</v>
      </c>
      <c r="F30" s="199">
        <f>IF(F25&lt;=prepayTerm,-PMT(prepayrate,prepayTerm,'Purchase Price and DS Calcs'!$E$18,0),0)</f>
        <v>-6164939.8442916125</v>
      </c>
      <c r="G30" s="199">
        <f>IF(G25&lt;=prepayTerm,-PMT(prepayrate,prepayTerm,'Purchase Price and DS Calcs'!$E$18,0),0)</f>
        <v>-6164939.8442916125</v>
      </c>
      <c r="H30" s="199">
        <f>IF(H25&lt;=prepayTerm,-PMT(prepayrate,prepayTerm,'Purchase Price and DS Calcs'!$E$18,0),0)</f>
        <v>-6164939.8442916125</v>
      </c>
      <c r="I30" s="199">
        <f>IF(I25&lt;=prepayTerm,-PMT(prepayrate,prepayTerm,'Purchase Price and DS Calcs'!$E$18,0),0)</f>
        <v>-6164939.8442916125</v>
      </c>
      <c r="J30" s="199">
        <f>IF(J25&lt;=prepayTerm,-PMT(prepayrate,prepayTerm,'Purchase Price and DS Calcs'!$E$18,0),0)</f>
        <v>-6164939.8442916125</v>
      </c>
      <c r="K30" s="199">
        <f>IF(K25&lt;=prepayTerm,-PMT(prepayrate,prepayTerm,'Purchase Price and DS Calcs'!$E$18,0),0)</f>
        <v>-6164939.8442916125</v>
      </c>
      <c r="L30" s="199">
        <f>IF(L25&lt;=prepayTerm,-PMT(prepayrate,prepayTerm,'Purchase Price and DS Calcs'!$E$18,0),0)</f>
        <v>-6164939.8442916125</v>
      </c>
      <c r="M30" s="199">
        <f>IF(M25&lt;=prepayTerm,-PMT(prepayrate,prepayTerm,'Purchase Price and DS Calcs'!$E$18,0),0)</f>
        <v>-6164939.8442916125</v>
      </c>
      <c r="N30" s="199">
        <f>IF(N25&lt;=prepayTerm,-PMT(prepayrate,prepayTerm,'Purchase Price and DS Calcs'!$E$18,0),0)</f>
        <v>-6164939.8442916125</v>
      </c>
      <c r="O30" s="199">
        <f>IF(O25&lt;=prepayTerm,-PMT(prepayrate,prepayTerm,'Purchase Price and DS Calcs'!$E$18,0),0)</f>
        <v>-6164939.8442916125</v>
      </c>
      <c r="P30" s="199">
        <f>IF(P25&lt;=prepayTerm,-PMT(prepayrate,prepayTerm,'Purchase Price and DS Calcs'!$E$18,0),0)</f>
        <v>-6164939.8442916125</v>
      </c>
      <c r="Q30" s="199">
        <f>IF(Q25&lt;=prepayTerm,-PMT(prepayrate,prepayTerm,'Purchase Price and DS Calcs'!$E$18,0),0)</f>
        <v>-6164939.8442916125</v>
      </c>
      <c r="R30" s="199">
        <f>IF(R25&lt;=prepayTerm,-PMT(prepayrate,prepayTerm,'Purchase Price and DS Calcs'!$E$18,0),0)</f>
        <v>-6164939.8442916125</v>
      </c>
      <c r="S30" s="199">
        <f>IF(S25&lt;=prepayTerm,-PMT(prepayrate,prepayTerm,'Purchase Price and DS Calcs'!$E$18,0),0)</f>
        <v>-6164939.8442916125</v>
      </c>
      <c r="T30" s="199">
        <f>IF(T25&lt;=prepayTerm,-PMT(prepayrate,prepayTerm,'Purchase Price and DS Calcs'!$E$18,0),0)</f>
        <v>-6164939.8442916125</v>
      </c>
      <c r="U30" s="199">
        <f>IF(U25&lt;=prepayTerm,-PMT(prepayrate,prepayTerm,'Purchase Price and DS Calcs'!$E$18,0),0)</f>
        <v>-6164939.8442916125</v>
      </c>
      <c r="V30" s="199">
        <f>IF(V25&lt;=prepayTerm,-PMT(prepayrate,prepayTerm,'Purchase Price and DS Calcs'!$E$18,0),0)</f>
        <v>-6164939.8442916125</v>
      </c>
      <c r="W30" s="199">
        <f>IF(W25&lt;=prepayTerm,-PMT(prepayrate,prepayTerm,'Purchase Price and DS Calcs'!$E$18,0),0)</f>
        <v>-6164939.8442916125</v>
      </c>
      <c r="X30" s="199">
        <f>IF(X25&lt;=prepayTerm,-PMT(prepayrate,prepayTerm,'Purchase Price and DS Calcs'!$E$18,0),0)</f>
        <v>-6164939.8442916125</v>
      </c>
      <c r="Y30" s="199">
        <f>IF(Y25&lt;=prepayTerm,-PMT(prepayrate,prepayTerm,'Purchase Price and DS Calcs'!$E$18,0),0)</f>
        <v>-6164939.8442916125</v>
      </c>
      <c r="Z30" s="199">
        <f>IF(Z25&lt;=prepayTerm,-PMT(prepayrate,prepayTerm,'Purchase Price and DS Calcs'!$E$18,0),0)</f>
        <v>-6164939.8442916125</v>
      </c>
      <c r="AA30" s="199">
        <f>IF(AA25&lt;=prepayTerm,-PMT(prepayrate,prepayTerm,'Purchase Price and DS Calcs'!$E$18,0),0)</f>
        <v>-6164939.8442916125</v>
      </c>
      <c r="AB30" s="199">
        <f>IF(AB25&lt;=prepayTerm,-PMT(prepayrate,prepayTerm,'Purchase Price and DS Calcs'!$E$18,0),0)</f>
        <v>-6164939.8442916125</v>
      </c>
      <c r="AC30" s="199">
        <f>IF(AC25&lt;=prepayTerm,-PMT(prepayrate,prepayTerm,'Purchase Price and DS Calcs'!$E$18,0),0)</f>
        <v>-6164939.8442916125</v>
      </c>
      <c r="AD30" s="199">
        <f>IF(AD25&lt;=prepayTerm,-PMT(prepayrate,prepayTerm,'Purchase Price and DS Calcs'!$E$18,0),0)</f>
        <v>-6164939.8442916125</v>
      </c>
      <c r="AE30" s="199">
        <f>IF(AE25&lt;=prepayTerm,-PMT(prepayrate,prepayTerm,'Purchase Price and DS Calcs'!$E$18,0),0)</f>
        <v>-6164939.8442916125</v>
      </c>
      <c r="AF30" s="199">
        <f>IF(AF25&lt;=prepayTerm,-PMT(prepayrate,prepayTerm,'Purchase Price and DS Calcs'!$E$18,0),0)</f>
        <v>-6164939.8442916125</v>
      </c>
      <c r="AG30" s="199">
        <f>IF(AG25&lt;=prepayTerm,-PMT(prepayrate,prepayTerm,'Purchase Price and DS Calcs'!$E$18,0),0)</f>
        <v>-6164939.8442916125</v>
      </c>
    </row>
    <row r="31" spans="1:35" s="133" customFormat="1" x14ac:dyDescent="0.2">
      <c r="A31" s="169"/>
      <c r="C31" s="133" t="s">
        <v>17</v>
      </c>
      <c r="D31" s="199">
        <f>D27-D29</f>
        <v>-95459302.579950809</v>
      </c>
      <c r="E31" s="199">
        <f>E27-E29</f>
        <v>-93876409.259496838</v>
      </c>
      <c r="F31" s="199">
        <f t="shared" ref="F31:AG31" si="5">F27-F29</f>
        <v>-92217537.059661075</v>
      </c>
      <c r="G31" s="199">
        <f t="shared" si="5"/>
        <v>-90479038.994233191</v>
      </c>
      <c r="H31" s="199">
        <f t="shared" si="5"/>
        <v>-88657093.021664768</v>
      </c>
      <c r="I31" s="199">
        <f t="shared" si="5"/>
        <v>-86747693.642413065</v>
      </c>
      <c r="J31" s="199">
        <f t="shared" si="5"/>
        <v>-84746643.092957273</v>
      </c>
      <c r="K31" s="199">
        <f t="shared" si="5"/>
        <v>-82649542.117127612</v>
      </c>
      <c r="L31" s="199">
        <f t="shared" si="5"/>
        <v>-80451780.294458121</v>
      </c>
      <c r="M31" s="199">
        <f t="shared" si="5"/>
        <v>-78148525.904300496</v>
      </c>
      <c r="N31" s="199">
        <f t="shared" si="5"/>
        <v>-75734715.303415313</v>
      </c>
      <c r="O31" s="199">
        <f t="shared" si="5"/>
        <v>-73205041.793687642</v>
      </c>
      <c r="P31" s="199">
        <f t="shared" si="5"/>
        <v>-70553943.955493033</v>
      </c>
      <c r="Q31" s="199">
        <f t="shared" si="5"/>
        <v>-67775593.421065092</v>
      </c>
      <c r="R31" s="199">
        <f t="shared" si="5"/>
        <v>-64863882.060984604</v>
      </c>
      <c r="S31" s="199">
        <f t="shared" si="5"/>
        <v>-61812408.555620253</v>
      </c>
      <c r="T31" s="199">
        <f t="shared" si="5"/>
        <v>-58614464.32199841</v>
      </c>
      <c r="U31" s="199">
        <f t="shared" si="5"/>
        <v>-55263018.765162721</v>
      </c>
      <c r="V31" s="199">
        <f t="shared" si="5"/>
        <v>-51750703.821598917</v>
      </c>
      <c r="W31" s="199">
        <f t="shared" si="5"/>
        <v>-48069797.76074405</v>
      </c>
      <c r="X31" s="199">
        <f t="shared" si="5"/>
        <v>-44212208.208968155</v>
      </c>
      <c r="Y31" s="199">
        <f t="shared" si="5"/>
        <v>-40169454.358707011</v>
      </c>
      <c r="Z31" s="199">
        <f t="shared" si="5"/>
        <v>-35932648.323633336</v>
      </c>
      <c r="AA31" s="199">
        <f t="shared" si="5"/>
        <v>-31492475.598876122</v>
      </c>
      <c r="AB31" s="199">
        <f t="shared" si="5"/>
        <v>-26839174.583330564</v>
      </c>
      <c r="AC31" s="199">
        <f t="shared" si="5"/>
        <v>-21962515.11903882</v>
      </c>
      <c r="AD31" s="199">
        <f t="shared" si="5"/>
        <v>-16851776.000461072</v>
      </c>
      <c r="AE31" s="199">
        <f t="shared" si="5"/>
        <v>-11495721.404191591</v>
      </c>
      <c r="AF31" s="199">
        <f t="shared" si="5"/>
        <v>-5882576.1873011747</v>
      </c>
      <c r="AG31" s="199">
        <f t="shared" si="5"/>
        <v>-1.862645149230957E-8</v>
      </c>
    </row>
    <row r="32" spans="1:35" s="133" customFormat="1" x14ac:dyDescent="0.2">
      <c r="A32" s="16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</row>
    <row r="33" spans="1:35" s="133" customFormat="1" x14ac:dyDescent="0.2">
      <c r="A33" s="169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</row>
    <row r="34" spans="1:35" s="133" customFormat="1" x14ac:dyDescent="0.2">
      <c r="A34" s="226" t="s">
        <v>192</v>
      </c>
      <c r="H34" s="226" t="s">
        <v>192</v>
      </c>
      <c r="N34" s="226" t="s">
        <v>192</v>
      </c>
      <c r="T34" s="226" t="s">
        <v>192</v>
      </c>
      <c r="Z34" s="226" t="s">
        <v>192</v>
      </c>
      <c r="AF34" s="226" t="s">
        <v>192</v>
      </c>
    </row>
    <row r="35" spans="1:35" s="1" customFormat="1" x14ac:dyDescent="0.2">
      <c r="A35" s="196"/>
      <c r="B35" s="197"/>
      <c r="C35" s="23" t="s">
        <v>12</v>
      </c>
      <c r="D35" s="24">
        <v>1</v>
      </c>
      <c r="E35" s="24">
        <f t="shared" ref="E35:AG35" si="6">+D35+1</f>
        <v>2</v>
      </c>
      <c r="F35" s="24">
        <f t="shared" si="6"/>
        <v>3</v>
      </c>
      <c r="G35" s="24">
        <f t="shared" si="6"/>
        <v>4</v>
      </c>
      <c r="H35" s="24">
        <f t="shared" si="6"/>
        <v>5</v>
      </c>
      <c r="I35" s="24">
        <f t="shared" si="6"/>
        <v>6</v>
      </c>
      <c r="J35" s="24">
        <f t="shared" si="6"/>
        <v>7</v>
      </c>
      <c r="K35" s="24">
        <f t="shared" si="6"/>
        <v>8</v>
      </c>
      <c r="L35" s="24">
        <f t="shared" si="6"/>
        <v>9</v>
      </c>
      <c r="M35" s="24">
        <f t="shared" si="6"/>
        <v>10</v>
      </c>
      <c r="N35" s="24">
        <f t="shared" si="6"/>
        <v>11</v>
      </c>
      <c r="O35" s="24">
        <f t="shared" si="6"/>
        <v>12</v>
      </c>
      <c r="P35" s="24">
        <f t="shared" si="6"/>
        <v>13</v>
      </c>
      <c r="Q35" s="24">
        <f t="shared" si="6"/>
        <v>14</v>
      </c>
      <c r="R35" s="24">
        <f t="shared" si="6"/>
        <v>15</v>
      </c>
      <c r="S35" s="24">
        <f t="shared" si="6"/>
        <v>16</v>
      </c>
      <c r="T35" s="24">
        <f t="shared" si="6"/>
        <v>17</v>
      </c>
      <c r="U35" s="24">
        <f t="shared" si="6"/>
        <v>18</v>
      </c>
      <c r="V35" s="24">
        <f t="shared" si="6"/>
        <v>19</v>
      </c>
      <c r="W35" s="24">
        <f t="shared" si="6"/>
        <v>20</v>
      </c>
      <c r="X35" s="24">
        <f t="shared" si="6"/>
        <v>21</v>
      </c>
      <c r="Y35" s="24">
        <f t="shared" si="6"/>
        <v>22</v>
      </c>
      <c r="Z35" s="24">
        <f t="shared" si="6"/>
        <v>23</v>
      </c>
      <c r="AA35" s="24">
        <f t="shared" si="6"/>
        <v>24</v>
      </c>
      <c r="AB35" s="24">
        <f t="shared" si="6"/>
        <v>25</v>
      </c>
      <c r="AC35" s="24">
        <f t="shared" si="6"/>
        <v>26</v>
      </c>
      <c r="AD35" s="24">
        <f t="shared" si="6"/>
        <v>27</v>
      </c>
      <c r="AE35" s="24">
        <f t="shared" si="6"/>
        <v>28</v>
      </c>
      <c r="AF35" s="24">
        <f t="shared" si="6"/>
        <v>29</v>
      </c>
      <c r="AG35" s="24">
        <f t="shared" si="6"/>
        <v>30</v>
      </c>
      <c r="AH35" s="227"/>
      <c r="AI35" s="227"/>
    </row>
    <row r="36" spans="1:35" s="1" customFormat="1" x14ac:dyDescent="0.2">
      <c r="A36" s="198"/>
      <c r="B36" s="197"/>
      <c r="C36" s="23" t="s">
        <v>29</v>
      </c>
      <c r="D36" s="24">
        <v>2014</v>
      </c>
      <c r="E36" s="24">
        <f t="shared" ref="E36:AG36" si="7">+D36+1</f>
        <v>2015</v>
      </c>
      <c r="F36" s="24">
        <f t="shared" si="7"/>
        <v>2016</v>
      </c>
      <c r="G36" s="24">
        <f t="shared" si="7"/>
        <v>2017</v>
      </c>
      <c r="H36" s="24">
        <f t="shared" si="7"/>
        <v>2018</v>
      </c>
      <c r="I36" s="24">
        <f t="shared" si="7"/>
        <v>2019</v>
      </c>
      <c r="J36" s="24">
        <f t="shared" si="7"/>
        <v>2020</v>
      </c>
      <c r="K36" s="24">
        <f t="shared" si="7"/>
        <v>2021</v>
      </c>
      <c r="L36" s="24">
        <f t="shared" si="7"/>
        <v>2022</v>
      </c>
      <c r="M36" s="24">
        <f t="shared" si="7"/>
        <v>2023</v>
      </c>
      <c r="N36" s="24">
        <f t="shared" si="7"/>
        <v>2024</v>
      </c>
      <c r="O36" s="24">
        <f t="shared" si="7"/>
        <v>2025</v>
      </c>
      <c r="P36" s="24">
        <f t="shared" si="7"/>
        <v>2026</v>
      </c>
      <c r="Q36" s="24">
        <f t="shared" si="7"/>
        <v>2027</v>
      </c>
      <c r="R36" s="24">
        <f t="shared" si="7"/>
        <v>2028</v>
      </c>
      <c r="S36" s="24">
        <f t="shared" si="7"/>
        <v>2029</v>
      </c>
      <c r="T36" s="24">
        <f t="shared" si="7"/>
        <v>2030</v>
      </c>
      <c r="U36" s="24">
        <f t="shared" si="7"/>
        <v>2031</v>
      </c>
      <c r="V36" s="24">
        <f t="shared" si="7"/>
        <v>2032</v>
      </c>
      <c r="W36" s="24">
        <f t="shared" si="7"/>
        <v>2033</v>
      </c>
      <c r="X36" s="24">
        <f t="shared" si="7"/>
        <v>2034</v>
      </c>
      <c r="Y36" s="24">
        <f t="shared" si="7"/>
        <v>2035</v>
      </c>
      <c r="Z36" s="24">
        <f t="shared" si="7"/>
        <v>2036</v>
      </c>
      <c r="AA36" s="24">
        <f t="shared" si="7"/>
        <v>2037</v>
      </c>
      <c r="AB36" s="24">
        <f t="shared" si="7"/>
        <v>2038</v>
      </c>
      <c r="AC36" s="24">
        <f t="shared" si="7"/>
        <v>2039</v>
      </c>
      <c r="AD36" s="24">
        <f t="shared" si="7"/>
        <v>2040</v>
      </c>
      <c r="AE36" s="24">
        <f t="shared" si="7"/>
        <v>2041</v>
      </c>
      <c r="AF36" s="24">
        <f t="shared" si="7"/>
        <v>2042</v>
      </c>
      <c r="AG36" s="24">
        <f t="shared" si="7"/>
        <v>2043</v>
      </c>
      <c r="AH36" s="227"/>
      <c r="AI36" s="227"/>
    </row>
    <row r="37" spans="1:35" s="133" customFormat="1" x14ac:dyDescent="0.2">
      <c r="A37" s="200">
        <f>equityrate</f>
        <v>5.2999999999999999E-2</v>
      </c>
      <c r="C37" s="133" t="s">
        <v>70</v>
      </c>
      <c r="D37" s="199">
        <f>E21</f>
        <v>-23999999.999999996</v>
      </c>
      <c r="E37" s="199">
        <f>D41</f>
        <v>-23656972.652462356</v>
      </c>
      <c r="F37" s="199">
        <f t="shared" ref="F37:AG37" si="8">E41</f>
        <v>-23295764.855505221</v>
      </c>
      <c r="G37" s="199">
        <f t="shared" si="8"/>
        <v>-22915413.045309357</v>
      </c>
      <c r="H37" s="199">
        <f t="shared" si="8"/>
        <v>-22514902.589173116</v>
      </c>
      <c r="I37" s="199">
        <f t="shared" si="8"/>
        <v>-22093165.078861654</v>
      </c>
      <c r="J37" s="199">
        <f t="shared" si="8"/>
        <v>-21649075.480503682</v>
      </c>
      <c r="K37" s="199">
        <f t="shared" si="8"/>
        <v>-21181449.133432738</v>
      </c>
      <c r="L37" s="199">
        <f t="shared" si="8"/>
        <v>-20689038.589967035</v>
      </c>
      <c r="M37" s="199">
        <f t="shared" si="8"/>
        <v>-20170530.28769765</v>
      </c>
      <c r="N37" s="199">
        <f t="shared" si="8"/>
        <v>-19624541.045407988</v>
      </c>
      <c r="O37" s="199">
        <f t="shared" si="8"/>
        <v>-19049614.373276971</v>
      </c>
      <c r="P37" s="199">
        <f t="shared" si="8"/>
        <v>-18444216.587523013</v>
      </c>
      <c r="Q37" s="199">
        <f t="shared" si="8"/>
        <v>-17806732.719124094</v>
      </c>
      <c r="R37" s="199">
        <f t="shared" si="8"/>
        <v>-17135462.205700032</v>
      </c>
      <c r="S37" s="199">
        <f t="shared" si="8"/>
        <v>-16428614.355064496</v>
      </c>
      <c r="T37" s="199">
        <f t="shared" si="8"/>
        <v>-15684303.568345277</v>
      </c>
      <c r="U37" s="199">
        <f t="shared" si="8"/>
        <v>-14900544.309929937</v>
      </c>
      <c r="V37" s="199">
        <f t="shared" si="8"/>
        <v>-14075245.810818585</v>
      </c>
      <c r="W37" s="199">
        <f t="shared" si="8"/>
        <v>-13206206.491254332</v>
      </c>
      <c r="X37" s="199">
        <f t="shared" si="8"/>
        <v>-12291108.087753173</v>
      </c>
      <c r="Y37" s="199">
        <f t="shared" si="8"/>
        <v>-11327509.468866453</v>
      </c>
      <c r="Z37" s="199">
        <f t="shared" si="8"/>
        <v>-10312840.123178735</v>
      </c>
      <c r="AA37" s="199">
        <f t="shared" si="8"/>
        <v>-9244393.3021695707</v>
      </c>
      <c r="AB37" s="199">
        <f t="shared" si="8"/>
        <v>-8119318.7996469196</v>
      </c>
      <c r="AC37" s="199">
        <f t="shared" si="8"/>
        <v>-6934615.3484905679</v>
      </c>
      <c r="AD37" s="199">
        <f t="shared" si="8"/>
        <v>-5687122.6144229295</v>
      </c>
      <c r="AE37" s="199">
        <f t="shared" si="8"/>
        <v>-4373512.7654497065</v>
      </c>
      <c r="AF37" s="199">
        <f t="shared" si="8"/>
        <v>-2990281.5944809024</v>
      </c>
      <c r="AG37" s="199">
        <f t="shared" si="8"/>
        <v>-1533739.1714507518</v>
      </c>
    </row>
    <row r="38" spans="1:35" s="133" customFormat="1" x14ac:dyDescent="0.2">
      <c r="A38" s="201"/>
      <c r="C38" s="133" t="s">
        <v>19</v>
      </c>
      <c r="D38" s="199">
        <f t="shared" ref="D38:AG38" si="9">IF(D35&lt;=equityTerm,D37*$A$37,0)</f>
        <v>-1271999.9999999998</v>
      </c>
      <c r="E38" s="199">
        <f t="shared" si="9"/>
        <v>-1253819.5505805048</v>
      </c>
      <c r="F38" s="199">
        <f t="shared" si="9"/>
        <v>-1234675.5373417768</v>
      </c>
      <c r="G38" s="199">
        <f t="shared" si="9"/>
        <v>-1214516.8914013959</v>
      </c>
      <c r="H38" s="199">
        <f t="shared" si="9"/>
        <v>-1193289.837226175</v>
      </c>
      <c r="I38" s="199">
        <f t="shared" si="9"/>
        <v>-1170937.7491796676</v>
      </c>
      <c r="J38" s="199">
        <f t="shared" si="9"/>
        <v>-1147401.0004666951</v>
      </c>
      <c r="K38" s="199">
        <f t="shared" si="9"/>
        <v>-1122616.8040719351</v>
      </c>
      <c r="L38" s="199">
        <f t="shared" si="9"/>
        <v>-1096519.0452682527</v>
      </c>
      <c r="M38" s="199">
        <f t="shared" si="9"/>
        <v>-1069038.1052479756</v>
      </c>
      <c r="N38" s="199">
        <f t="shared" si="9"/>
        <v>-1040100.6754066234</v>
      </c>
      <c r="O38" s="199">
        <f t="shared" si="9"/>
        <v>-1009629.5617836794</v>
      </c>
      <c r="P38" s="199">
        <f t="shared" si="9"/>
        <v>-977543.47913871973</v>
      </c>
      <c r="Q38" s="199">
        <f t="shared" si="9"/>
        <v>-943756.83411357692</v>
      </c>
      <c r="R38" s="199">
        <f t="shared" si="9"/>
        <v>-908179.49690210167</v>
      </c>
      <c r="S38" s="199">
        <f t="shared" si="9"/>
        <v>-870716.56081841828</v>
      </c>
      <c r="T38" s="199">
        <f t="shared" si="9"/>
        <v>-831268.08912229969</v>
      </c>
      <c r="U38" s="199">
        <f t="shared" si="9"/>
        <v>-789728.8484262866</v>
      </c>
      <c r="V38" s="199">
        <f t="shared" si="9"/>
        <v>-745988.02797338495</v>
      </c>
      <c r="W38" s="199">
        <f t="shared" si="9"/>
        <v>-699928.94403647957</v>
      </c>
      <c r="X38" s="199">
        <f t="shared" si="9"/>
        <v>-651428.72865091811</v>
      </c>
      <c r="Y38" s="199">
        <f t="shared" si="9"/>
        <v>-600358.001849922</v>
      </c>
      <c r="Z38" s="199">
        <f t="shared" si="9"/>
        <v>-546580.52652847301</v>
      </c>
      <c r="AA38" s="199">
        <f t="shared" si="9"/>
        <v>-489952.84501498722</v>
      </c>
      <c r="AB38" s="199">
        <f t="shared" si="9"/>
        <v>-430323.89638128673</v>
      </c>
      <c r="AC38" s="199">
        <f t="shared" si="9"/>
        <v>-367534.6134700001</v>
      </c>
      <c r="AD38" s="199">
        <f t="shared" si="9"/>
        <v>-301417.49856441526</v>
      </c>
      <c r="AE38" s="199">
        <f t="shared" si="9"/>
        <v>-231796.17656883443</v>
      </c>
      <c r="AF38" s="199">
        <f t="shared" si="9"/>
        <v>-158484.92450748783</v>
      </c>
      <c r="AG38" s="199">
        <f t="shared" si="9"/>
        <v>-81288.176086889842</v>
      </c>
    </row>
    <row r="39" spans="1:35" s="133" customFormat="1" x14ac:dyDescent="0.2">
      <c r="A39" s="169"/>
      <c r="C39" s="133" t="s">
        <v>18</v>
      </c>
      <c r="D39" s="199">
        <f t="shared" ref="D39:AG39" si="10">IF(D35&lt;=equityTerm,D40-D38,0)</f>
        <v>-343027.34753763862</v>
      </c>
      <c r="E39" s="199">
        <f t="shared" si="10"/>
        <v>-361207.79695713357</v>
      </c>
      <c r="F39" s="199">
        <f t="shared" si="10"/>
        <v>-380351.81019586162</v>
      </c>
      <c r="G39" s="199">
        <f t="shared" si="10"/>
        <v>-400510.45613624249</v>
      </c>
      <c r="H39" s="199">
        <f t="shared" si="10"/>
        <v>-421737.51031146338</v>
      </c>
      <c r="I39" s="199">
        <f t="shared" si="10"/>
        <v>-444089.59835797083</v>
      </c>
      <c r="J39" s="199">
        <f t="shared" si="10"/>
        <v>-467626.34707094333</v>
      </c>
      <c r="K39" s="199">
        <f t="shared" si="10"/>
        <v>-492410.54346570326</v>
      </c>
      <c r="L39" s="199">
        <f t="shared" si="10"/>
        <v>-518508.30226938566</v>
      </c>
      <c r="M39" s="199">
        <f t="shared" si="10"/>
        <v>-545989.24228966283</v>
      </c>
      <c r="N39" s="199">
        <f t="shared" si="10"/>
        <v>-574926.67213101499</v>
      </c>
      <c r="O39" s="199">
        <f t="shared" si="10"/>
        <v>-605397.78575395897</v>
      </c>
      <c r="P39" s="199">
        <f t="shared" si="10"/>
        <v>-637483.86839891865</v>
      </c>
      <c r="Q39" s="199">
        <f t="shared" si="10"/>
        <v>-671270.51342406147</v>
      </c>
      <c r="R39" s="199">
        <f t="shared" si="10"/>
        <v>-706847.85063553671</v>
      </c>
      <c r="S39" s="199">
        <f t="shared" si="10"/>
        <v>-744310.78671922011</v>
      </c>
      <c r="T39" s="199">
        <f t="shared" si="10"/>
        <v>-783759.2584153387</v>
      </c>
      <c r="U39" s="199">
        <f t="shared" si="10"/>
        <v>-825298.49911135179</v>
      </c>
      <c r="V39" s="199">
        <f t="shared" si="10"/>
        <v>-869039.31956425344</v>
      </c>
      <c r="W39" s="199">
        <f t="shared" si="10"/>
        <v>-915098.40350115881</v>
      </c>
      <c r="X39" s="199">
        <f t="shared" si="10"/>
        <v>-963598.61888672027</v>
      </c>
      <c r="Y39" s="199">
        <f t="shared" si="10"/>
        <v>-1014669.3456877164</v>
      </c>
      <c r="Z39" s="199">
        <f t="shared" si="10"/>
        <v>-1068446.8210091654</v>
      </c>
      <c r="AA39" s="199">
        <f t="shared" si="10"/>
        <v>-1125074.5025226511</v>
      </c>
      <c r="AB39" s="199">
        <f t="shared" si="10"/>
        <v>-1184703.4511563517</v>
      </c>
      <c r="AC39" s="199">
        <f t="shared" si="10"/>
        <v>-1247492.7340676384</v>
      </c>
      <c r="AD39" s="199">
        <f t="shared" si="10"/>
        <v>-1313609.848973223</v>
      </c>
      <c r="AE39" s="199">
        <f t="shared" si="10"/>
        <v>-1383231.170968804</v>
      </c>
      <c r="AF39" s="199">
        <f t="shared" si="10"/>
        <v>-1456542.4230301506</v>
      </c>
      <c r="AG39" s="199">
        <f t="shared" si="10"/>
        <v>-1533739.1714507486</v>
      </c>
    </row>
    <row r="40" spans="1:35" s="133" customFormat="1" x14ac:dyDescent="0.2">
      <c r="A40" s="169"/>
      <c r="C40" s="133" t="s">
        <v>21</v>
      </c>
      <c r="D40" s="199">
        <f>IF(D35&lt;=equityTerm,-PMT(equityrate,equityTerm,'Purchase Price and DS Calcs'!$E$21,0),0)</f>
        <v>-1615027.3475376384</v>
      </c>
      <c r="E40" s="199">
        <f>IF(E35&lt;=equityTerm,-PMT(equityrate,equityTerm,'Purchase Price and DS Calcs'!$E$21,0),0)</f>
        <v>-1615027.3475376384</v>
      </c>
      <c r="F40" s="199">
        <f>IF(F35&lt;=equityTerm,-PMT(equityrate,equityTerm,'Purchase Price and DS Calcs'!$E$21,0),0)</f>
        <v>-1615027.3475376384</v>
      </c>
      <c r="G40" s="199">
        <f>IF(G35&lt;=equityTerm,-PMT(equityrate,equityTerm,'Purchase Price and DS Calcs'!$E$21,0),0)</f>
        <v>-1615027.3475376384</v>
      </c>
      <c r="H40" s="199">
        <f>IF(H35&lt;=equityTerm,-PMT(equityrate,equityTerm,'Purchase Price and DS Calcs'!$E$21,0),0)</f>
        <v>-1615027.3475376384</v>
      </c>
      <c r="I40" s="199">
        <f>IF(I35&lt;=equityTerm,-PMT(equityrate,equityTerm,'Purchase Price and DS Calcs'!$E$21,0),0)</f>
        <v>-1615027.3475376384</v>
      </c>
      <c r="J40" s="199">
        <f>IF(J35&lt;=equityTerm,-PMT(equityrate,equityTerm,'Purchase Price and DS Calcs'!$E$21,0),0)</f>
        <v>-1615027.3475376384</v>
      </c>
      <c r="K40" s="199">
        <f>IF(K35&lt;=equityTerm,-PMT(equityrate,equityTerm,'Purchase Price and DS Calcs'!$E$21,0),0)</f>
        <v>-1615027.3475376384</v>
      </c>
      <c r="L40" s="199">
        <f>IF(L35&lt;=equityTerm,-PMT(equityrate,equityTerm,'Purchase Price and DS Calcs'!$E$21,0),0)</f>
        <v>-1615027.3475376384</v>
      </c>
      <c r="M40" s="199">
        <f>IF(M35&lt;=equityTerm,-PMT(equityrate,equityTerm,'Purchase Price and DS Calcs'!$E$21,0),0)</f>
        <v>-1615027.3475376384</v>
      </c>
      <c r="N40" s="199">
        <f>IF(N35&lt;=equityTerm,-PMT(equityrate,equityTerm,'Purchase Price and DS Calcs'!$E$21,0),0)</f>
        <v>-1615027.3475376384</v>
      </c>
      <c r="O40" s="199">
        <f>IF(O35&lt;=equityTerm,-PMT(equityrate,equityTerm,'Purchase Price and DS Calcs'!$E$21,0),0)</f>
        <v>-1615027.3475376384</v>
      </c>
      <c r="P40" s="199">
        <f>IF(P35&lt;=equityTerm,-PMT(equityrate,equityTerm,'Purchase Price and DS Calcs'!$E$21,0),0)</f>
        <v>-1615027.3475376384</v>
      </c>
      <c r="Q40" s="199">
        <f>IF(Q35&lt;=equityTerm,-PMT(equityrate,equityTerm,'Purchase Price and DS Calcs'!$E$21,0),0)</f>
        <v>-1615027.3475376384</v>
      </c>
      <c r="R40" s="199">
        <f>IF(R35&lt;=equityTerm,-PMT(equityrate,equityTerm,'Purchase Price and DS Calcs'!$E$21,0),0)</f>
        <v>-1615027.3475376384</v>
      </c>
      <c r="S40" s="199">
        <f>IF(S35&lt;=equityTerm,-PMT(equityrate,equityTerm,'Purchase Price and DS Calcs'!$E$21,0),0)</f>
        <v>-1615027.3475376384</v>
      </c>
      <c r="T40" s="199">
        <f>IF(T35&lt;=equityTerm,-PMT(equityrate,equityTerm,'Purchase Price and DS Calcs'!$E$21,0),0)</f>
        <v>-1615027.3475376384</v>
      </c>
      <c r="U40" s="199">
        <f>IF(U35&lt;=equityTerm,-PMT(equityrate,equityTerm,'Purchase Price and DS Calcs'!$E$21,0),0)</f>
        <v>-1615027.3475376384</v>
      </c>
      <c r="V40" s="199">
        <f>IF(V35&lt;=equityTerm,-PMT(equityrate,equityTerm,'Purchase Price and DS Calcs'!$E$21,0),0)</f>
        <v>-1615027.3475376384</v>
      </c>
      <c r="W40" s="199">
        <f>IF(W35&lt;=equityTerm,-PMT(equityrate,equityTerm,'Purchase Price and DS Calcs'!$E$21,0),0)</f>
        <v>-1615027.3475376384</v>
      </c>
      <c r="X40" s="199">
        <f>IF(X35&lt;=equityTerm,-PMT(equityrate,equityTerm,'Purchase Price and DS Calcs'!$E$21,0),0)</f>
        <v>-1615027.3475376384</v>
      </c>
      <c r="Y40" s="199">
        <f>IF(Y35&lt;=equityTerm,-PMT(equityrate,equityTerm,'Purchase Price and DS Calcs'!$E$21,0),0)</f>
        <v>-1615027.3475376384</v>
      </c>
      <c r="Z40" s="199">
        <f>IF(Z35&lt;=equityTerm,-PMT(equityrate,equityTerm,'Purchase Price and DS Calcs'!$E$21,0),0)</f>
        <v>-1615027.3475376384</v>
      </c>
      <c r="AA40" s="199">
        <f>IF(AA35&lt;=equityTerm,-PMT(equityrate,equityTerm,'Purchase Price and DS Calcs'!$E$21,0),0)</f>
        <v>-1615027.3475376384</v>
      </c>
      <c r="AB40" s="199">
        <f>IF(AB35&lt;=equityTerm,-PMT(equityrate,equityTerm,'Purchase Price and DS Calcs'!$E$21,0),0)</f>
        <v>-1615027.3475376384</v>
      </c>
      <c r="AC40" s="199">
        <f>IF(AC35&lt;=equityTerm,-PMT(equityrate,equityTerm,'Purchase Price and DS Calcs'!$E$21,0),0)</f>
        <v>-1615027.3475376384</v>
      </c>
      <c r="AD40" s="199">
        <f>IF(AD35&lt;=equityTerm,-PMT(equityrate,equityTerm,'Purchase Price and DS Calcs'!$E$21,0),0)</f>
        <v>-1615027.3475376384</v>
      </c>
      <c r="AE40" s="199">
        <f>IF(AE35&lt;=equityTerm,-PMT(equityrate,equityTerm,'Purchase Price and DS Calcs'!$E$21,0),0)</f>
        <v>-1615027.3475376384</v>
      </c>
      <c r="AF40" s="199">
        <f>IF(AF35&lt;=equityTerm,-PMT(equityrate,equityTerm,'Purchase Price and DS Calcs'!$E$21,0),0)</f>
        <v>-1615027.3475376384</v>
      </c>
      <c r="AG40" s="199">
        <f>IF(AG35&lt;=equityTerm,-PMT(equityrate,equityTerm,'Purchase Price and DS Calcs'!$E$21,0),0)</f>
        <v>-1615027.3475376384</v>
      </c>
    </row>
    <row r="41" spans="1:35" s="133" customFormat="1" x14ac:dyDescent="0.2">
      <c r="A41" s="169"/>
      <c r="C41" s="133" t="s">
        <v>17</v>
      </c>
      <c r="D41" s="199">
        <f>D37-D39</f>
        <v>-23656972.652462356</v>
      </c>
      <c r="E41" s="199">
        <f>E37-E39</f>
        <v>-23295764.855505221</v>
      </c>
      <c r="F41" s="199">
        <f t="shared" ref="F41:AG41" si="11">F37-F39</f>
        <v>-22915413.045309357</v>
      </c>
      <c r="G41" s="199">
        <f t="shared" si="11"/>
        <v>-22514902.589173116</v>
      </c>
      <c r="H41" s="199">
        <f t="shared" si="11"/>
        <v>-22093165.078861654</v>
      </c>
      <c r="I41" s="199">
        <f t="shared" si="11"/>
        <v>-21649075.480503682</v>
      </c>
      <c r="J41" s="199">
        <f t="shared" si="11"/>
        <v>-21181449.133432738</v>
      </c>
      <c r="K41" s="199">
        <f t="shared" si="11"/>
        <v>-20689038.589967035</v>
      </c>
      <c r="L41" s="199">
        <f t="shared" si="11"/>
        <v>-20170530.28769765</v>
      </c>
      <c r="M41" s="199">
        <f t="shared" si="11"/>
        <v>-19624541.045407988</v>
      </c>
      <c r="N41" s="199">
        <f t="shared" si="11"/>
        <v>-19049614.373276971</v>
      </c>
      <c r="O41" s="199">
        <f t="shared" si="11"/>
        <v>-18444216.587523013</v>
      </c>
      <c r="P41" s="199">
        <f t="shared" si="11"/>
        <v>-17806732.719124094</v>
      </c>
      <c r="Q41" s="199">
        <f t="shared" si="11"/>
        <v>-17135462.205700032</v>
      </c>
      <c r="R41" s="199">
        <f t="shared" si="11"/>
        <v>-16428614.355064496</v>
      </c>
      <c r="S41" s="199">
        <f t="shared" si="11"/>
        <v>-15684303.568345277</v>
      </c>
      <c r="T41" s="199">
        <f t="shared" si="11"/>
        <v>-14900544.309929937</v>
      </c>
      <c r="U41" s="199">
        <f t="shared" si="11"/>
        <v>-14075245.810818585</v>
      </c>
      <c r="V41" s="199">
        <f t="shared" si="11"/>
        <v>-13206206.491254332</v>
      </c>
      <c r="W41" s="199">
        <f t="shared" si="11"/>
        <v>-12291108.087753173</v>
      </c>
      <c r="X41" s="199">
        <f t="shared" si="11"/>
        <v>-11327509.468866453</v>
      </c>
      <c r="Y41" s="199">
        <f t="shared" si="11"/>
        <v>-10312840.123178735</v>
      </c>
      <c r="Z41" s="199">
        <f t="shared" si="11"/>
        <v>-9244393.3021695707</v>
      </c>
      <c r="AA41" s="199">
        <f t="shared" si="11"/>
        <v>-8119318.7996469196</v>
      </c>
      <c r="AB41" s="199">
        <f t="shared" si="11"/>
        <v>-6934615.3484905679</v>
      </c>
      <c r="AC41" s="199">
        <f t="shared" si="11"/>
        <v>-5687122.6144229295</v>
      </c>
      <c r="AD41" s="199">
        <f t="shared" si="11"/>
        <v>-4373512.7654497065</v>
      </c>
      <c r="AE41" s="199">
        <f t="shared" si="11"/>
        <v>-2990281.5944809024</v>
      </c>
      <c r="AF41" s="199">
        <f t="shared" si="11"/>
        <v>-1533739.1714507518</v>
      </c>
      <c r="AG41" s="199">
        <f t="shared" si="11"/>
        <v>-3.2596290111541748E-9</v>
      </c>
    </row>
    <row r="42" spans="1:35" s="133" customFormat="1" x14ac:dyDescent="0.2">
      <c r="A42" s="16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</row>
    <row r="43" spans="1:35" s="133" customFormat="1" x14ac:dyDescent="0.2">
      <c r="A43" s="226" t="s">
        <v>193</v>
      </c>
      <c r="H43" s="226" t="s">
        <v>193</v>
      </c>
      <c r="N43" s="226" t="s">
        <v>193</v>
      </c>
      <c r="T43" s="226" t="s">
        <v>193</v>
      </c>
      <c r="Z43" s="226" t="s">
        <v>193</v>
      </c>
      <c r="AF43" s="226" t="s">
        <v>193</v>
      </c>
    </row>
    <row r="44" spans="1:35" s="1" customFormat="1" x14ac:dyDescent="0.2">
      <c r="A44" s="196"/>
      <c r="B44" s="197"/>
      <c r="C44" s="23" t="s">
        <v>12</v>
      </c>
      <c r="D44" s="24">
        <v>1</v>
      </c>
      <c r="E44" s="24">
        <f t="shared" ref="E44:AG44" si="12">+D44+1</f>
        <v>2</v>
      </c>
      <c r="F44" s="24">
        <f t="shared" si="12"/>
        <v>3</v>
      </c>
      <c r="G44" s="24">
        <f t="shared" si="12"/>
        <v>4</v>
      </c>
      <c r="H44" s="24">
        <f t="shared" si="12"/>
        <v>5</v>
      </c>
      <c r="I44" s="24">
        <f t="shared" si="12"/>
        <v>6</v>
      </c>
      <c r="J44" s="24">
        <f t="shared" si="12"/>
        <v>7</v>
      </c>
      <c r="K44" s="24">
        <f t="shared" si="12"/>
        <v>8</v>
      </c>
      <c r="L44" s="24">
        <f t="shared" si="12"/>
        <v>9</v>
      </c>
      <c r="M44" s="24">
        <f t="shared" si="12"/>
        <v>10</v>
      </c>
      <c r="N44" s="24">
        <f t="shared" si="12"/>
        <v>11</v>
      </c>
      <c r="O44" s="24">
        <f t="shared" si="12"/>
        <v>12</v>
      </c>
      <c r="P44" s="24">
        <f t="shared" si="12"/>
        <v>13</v>
      </c>
      <c r="Q44" s="24">
        <f t="shared" si="12"/>
        <v>14</v>
      </c>
      <c r="R44" s="24">
        <f t="shared" si="12"/>
        <v>15</v>
      </c>
      <c r="S44" s="24">
        <f t="shared" si="12"/>
        <v>16</v>
      </c>
      <c r="T44" s="24">
        <f t="shared" si="12"/>
        <v>17</v>
      </c>
      <c r="U44" s="24">
        <f t="shared" si="12"/>
        <v>18</v>
      </c>
      <c r="V44" s="24">
        <f t="shared" si="12"/>
        <v>19</v>
      </c>
      <c r="W44" s="24">
        <f t="shared" si="12"/>
        <v>20</v>
      </c>
      <c r="X44" s="24">
        <f t="shared" si="12"/>
        <v>21</v>
      </c>
      <c r="Y44" s="24">
        <f t="shared" si="12"/>
        <v>22</v>
      </c>
      <c r="Z44" s="24">
        <f t="shared" si="12"/>
        <v>23</v>
      </c>
      <c r="AA44" s="24">
        <f t="shared" si="12"/>
        <v>24</v>
      </c>
      <c r="AB44" s="24">
        <f t="shared" si="12"/>
        <v>25</v>
      </c>
      <c r="AC44" s="24">
        <f t="shared" si="12"/>
        <v>26</v>
      </c>
      <c r="AD44" s="24">
        <f t="shared" si="12"/>
        <v>27</v>
      </c>
      <c r="AE44" s="24">
        <f t="shared" si="12"/>
        <v>28</v>
      </c>
      <c r="AF44" s="24">
        <f t="shared" si="12"/>
        <v>29</v>
      </c>
      <c r="AG44" s="24">
        <f t="shared" si="12"/>
        <v>30</v>
      </c>
      <c r="AH44" s="227"/>
      <c r="AI44" s="227"/>
    </row>
    <row r="45" spans="1:35" s="1" customFormat="1" x14ac:dyDescent="0.2">
      <c r="A45" s="198"/>
      <c r="B45" s="197"/>
      <c r="C45" s="23" t="s">
        <v>29</v>
      </c>
      <c r="D45" s="24">
        <v>2014</v>
      </c>
      <c r="E45" s="24">
        <f t="shared" ref="E45:AG45" si="13">+D45+1</f>
        <v>2015</v>
      </c>
      <c r="F45" s="24">
        <f t="shared" si="13"/>
        <v>2016</v>
      </c>
      <c r="G45" s="24">
        <f t="shared" si="13"/>
        <v>2017</v>
      </c>
      <c r="H45" s="24">
        <f t="shared" si="13"/>
        <v>2018</v>
      </c>
      <c r="I45" s="24">
        <f t="shared" si="13"/>
        <v>2019</v>
      </c>
      <c r="J45" s="24">
        <f t="shared" si="13"/>
        <v>2020</v>
      </c>
      <c r="K45" s="24">
        <f t="shared" si="13"/>
        <v>2021</v>
      </c>
      <c r="L45" s="24">
        <f t="shared" si="13"/>
        <v>2022</v>
      </c>
      <c r="M45" s="24">
        <f t="shared" si="13"/>
        <v>2023</v>
      </c>
      <c r="N45" s="24">
        <f t="shared" si="13"/>
        <v>2024</v>
      </c>
      <c r="O45" s="24">
        <f t="shared" si="13"/>
        <v>2025</v>
      </c>
      <c r="P45" s="24">
        <f t="shared" si="13"/>
        <v>2026</v>
      </c>
      <c r="Q45" s="24">
        <f t="shared" si="13"/>
        <v>2027</v>
      </c>
      <c r="R45" s="24">
        <f t="shared" si="13"/>
        <v>2028</v>
      </c>
      <c r="S45" s="24">
        <f t="shared" si="13"/>
        <v>2029</v>
      </c>
      <c r="T45" s="24">
        <f t="shared" si="13"/>
        <v>2030</v>
      </c>
      <c r="U45" s="24">
        <f t="shared" si="13"/>
        <v>2031</v>
      </c>
      <c r="V45" s="24">
        <f t="shared" si="13"/>
        <v>2032</v>
      </c>
      <c r="W45" s="24">
        <f t="shared" si="13"/>
        <v>2033</v>
      </c>
      <c r="X45" s="24">
        <f t="shared" si="13"/>
        <v>2034</v>
      </c>
      <c r="Y45" s="24">
        <f t="shared" si="13"/>
        <v>2035</v>
      </c>
      <c r="Z45" s="24">
        <f t="shared" si="13"/>
        <v>2036</v>
      </c>
      <c r="AA45" s="24">
        <f t="shared" si="13"/>
        <v>2037</v>
      </c>
      <c r="AB45" s="24">
        <f t="shared" si="13"/>
        <v>2038</v>
      </c>
      <c r="AC45" s="24">
        <f t="shared" si="13"/>
        <v>2039</v>
      </c>
      <c r="AD45" s="24">
        <f t="shared" si="13"/>
        <v>2040</v>
      </c>
      <c r="AE45" s="24">
        <f t="shared" si="13"/>
        <v>2041</v>
      </c>
      <c r="AF45" s="24">
        <f t="shared" si="13"/>
        <v>2042</v>
      </c>
      <c r="AG45" s="24">
        <f t="shared" si="13"/>
        <v>2043</v>
      </c>
      <c r="AH45" s="227"/>
      <c r="AI45" s="227"/>
    </row>
    <row r="46" spans="1:35" s="133" customFormat="1" x14ac:dyDescent="0.2">
      <c r="A46" s="200">
        <f>RevRecIntRate</f>
        <v>6.5000000000000002E-2</v>
      </c>
      <c r="C46" s="133" t="s">
        <v>70</v>
      </c>
      <c r="D46" s="199">
        <f>E8</f>
        <v>-96000000</v>
      </c>
      <c r="E46" s="199">
        <f>D50</f>
        <v>-94888565.544392586</v>
      </c>
      <c r="F46" s="199">
        <f t="shared" ref="F46:AG46" si="14">E50</f>
        <v>-93704887.849170685</v>
      </c>
      <c r="G46" s="199">
        <f t="shared" si="14"/>
        <v>-92444271.103759363</v>
      </c>
      <c r="H46" s="199">
        <f t="shared" si="14"/>
        <v>-91101714.269896299</v>
      </c>
      <c r="I46" s="199">
        <f t="shared" si="14"/>
        <v>-89671891.241832137</v>
      </c>
      <c r="J46" s="199">
        <f t="shared" si="14"/>
        <v>-88149129.716943815</v>
      </c>
      <c r="K46" s="199">
        <f t="shared" si="14"/>
        <v>-86527388.692937747</v>
      </c>
      <c r="L46" s="199">
        <f t="shared" si="14"/>
        <v>-84800234.502371281</v>
      </c>
      <c r="M46" s="199">
        <f t="shared" si="14"/>
        <v>-82960815.289417997</v>
      </c>
      <c r="N46" s="199">
        <f t="shared" si="14"/>
        <v>-81001833.827622756</v>
      </c>
      <c r="O46" s="199">
        <f t="shared" si="14"/>
        <v>-78915518.570810825</v>
      </c>
      <c r="P46" s="199">
        <f t="shared" si="14"/>
        <v>-76693592.822306111</v>
      </c>
      <c r="Q46" s="199">
        <f t="shared" si="14"/>
        <v>-74327241.900148585</v>
      </c>
      <c r="R46" s="199">
        <f t="shared" si="14"/>
        <v>-71807078.168050826</v>
      </c>
      <c r="S46" s="199">
        <f t="shared" si="14"/>
        <v>-69123103.793366715</v>
      </c>
      <c r="T46" s="199">
        <f t="shared" si="14"/>
        <v>-66264671.084328137</v>
      </c>
      <c r="U46" s="199">
        <f t="shared" si="14"/>
        <v>-63220440.24920205</v>
      </c>
      <c r="V46" s="199">
        <f t="shared" si="14"/>
        <v>-59978334.409792766</v>
      </c>
      <c r="W46" s="199">
        <f t="shared" si="14"/>
        <v>-56525491.690821879</v>
      </c>
      <c r="X46" s="199">
        <f t="shared" si="14"/>
        <v>-52848214.195117883</v>
      </c>
      <c r="Y46" s="199">
        <f t="shared" si="14"/>
        <v>-48931913.662193127</v>
      </c>
      <c r="Z46" s="199">
        <f t="shared" si="14"/>
        <v>-44761053.59462826</v>
      </c>
      <c r="AA46" s="199">
        <f t="shared" si="14"/>
        <v>-40319087.622671679</v>
      </c>
      <c r="AB46" s="199">
        <f t="shared" si="14"/>
        <v>-35588393.86253792</v>
      </c>
      <c r="AC46" s="199">
        <f t="shared" si="14"/>
        <v>-30550205.007995468</v>
      </c>
      <c r="AD46" s="199">
        <f t="shared" si="14"/>
        <v>-25184533.877907757</v>
      </c>
      <c r="AE46" s="199">
        <f t="shared" si="14"/>
        <v>-19470094.124364346</v>
      </c>
      <c r="AF46" s="199">
        <f t="shared" si="14"/>
        <v>-13384215.786840612</v>
      </c>
      <c r="AG46" s="199">
        <f t="shared" si="14"/>
        <v>-6902755.3573778346</v>
      </c>
    </row>
    <row r="47" spans="1:35" s="133" customFormat="1" x14ac:dyDescent="0.2">
      <c r="A47" s="201"/>
      <c r="C47" s="133" t="s">
        <v>19</v>
      </c>
      <c r="D47" s="199">
        <f t="shared" ref="D47:AG47" si="15">IF(D44&lt;=revrecterm,D46*$A$46,0)</f>
        <v>-6240000</v>
      </c>
      <c r="E47" s="199">
        <f t="shared" si="15"/>
        <v>-6167756.760385518</v>
      </c>
      <c r="F47" s="199">
        <f t="shared" si="15"/>
        <v>-6090817.7101960946</v>
      </c>
      <c r="G47" s="199">
        <f t="shared" si="15"/>
        <v>-6008877.6217443589</v>
      </c>
      <c r="H47" s="199">
        <f t="shared" si="15"/>
        <v>-5921611.4275432592</v>
      </c>
      <c r="I47" s="199">
        <f t="shared" si="15"/>
        <v>-5828672.9307190888</v>
      </c>
      <c r="J47" s="199">
        <f t="shared" si="15"/>
        <v>-5729693.4316013483</v>
      </c>
      <c r="K47" s="199">
        <f t="shared" si="15"/>
        <v>-5624280.2650409536</v>
      </c>
      <c r="L47" s="199">
        <f t="shared" si="15"/>
        <v>-5512015.2426541336</v>
      </c>
      <c r="M47" s="199">
        <f t="shared" si="15"/>
        <v>-5392452.9938121699</v>
      </c>
      <c r="N47" s="199">
        <f t="shared" si="15"/>
        <v>-5265119.1987954797</v>
      </c>
      <c r="O47" s="199">
        <f t="shared" si="15"/>
        <v>-5129508.7071027039</v>
      </c>
      <c r="P47" s="199">
        <f t="shared" si="15"/>
        <v>-4985083.5334498975</v>
      </c>
      <c r="Q47" s="199">
        <f t="shared" si="15"/>
        <v>-4831270.7235096581</v>
      </c>
      <c r="R47" s="199">
        <f t="shared" si="15"/>
        <v>-4667460.080923304</v>
      </c>
      <c r="S47" s="199">
        <f t="shared" si="15"/>
        <v>-4493001.7465688363</v>
      </c>
      <c r="T47" s="199">
        <f t="shared" si="15"/>
        <v>-4307203.620481329</v>
      </c>
      <c r="U47" s="199">
        <f t="shared" si="15"/>
        <v>-4109328.6161981332</v>
      </c>
      <c r="V47" s="199">
        <f t="shared" si="15"/>
        <v>-3898591.7366365301</v>
      </c>
      <c r="W47" s="199">
        <f t="shared" si="15"/>
        <v>-3674156.9599034223</v>
      </c>
      <c r="X47" s="199">
        <f t="shared" si="15"/>
        <v>-3435133.9226826625</v>
      </c>
      <c r="Y47" s="199">
        <f t="shared" si="15"/>
        <v>-3180574.3880425533</v>
      </c>
      <c r="Z47" s="199">
        <f t="shared" si="15"/>
        <v>-2909468.4836508371</v>
      </c>
      <c r="AA47" s="199">
        <f t="shared" si="15"/>
        <v>-2620740.6954736593</v>
      </c>
      <c r="AB47" s="199">
        <f t="shared" si="15"/>
        <v>-2313245.6010649651</v>
      </c>
      <c r="AC47" s="199">
        <f t="shared" si="15"/>
        <v>-1985763.3255197054</v>
      </c>
      <c r="AD47" s="199">
        <f t="shared" si="15"/>
        <v>-1636994.7020640043</v>
      </c>
      <c r="AE47" s="199">
        <f t="shared" si="15"/>
        <v>-1265556.1180836826</v>
      </c>
      <c r="AF47" s="199">
        <f t="shared" si="15"/>
        <v>-869974.02614463982</v>
      </c>
      <c r="AG47" s="199">
        <f t="shared" si="15"/>
        <v>-448679.09822955925</v>
      </c>
    </row>
    <row r="48" spans="1:35" s="133" customFormat="1" x14ac:dyDescent="0.2">
      <c r="A48" s="169"/>
      <c r="C48" s="133" t="s">
        <v>18</v>
      </c>
      <c r="D48" s="199">
        <f t="shared" ref="D48:AG48" si="16">IF(D44&lt;=revrecterm,D49-D47,0)</f>
        <v>-1111434.455607417</v>
      </c>
      <c r="E48" s="199">
        <f t="shared" si="16"/>
        <v>-1183677.6952218991</v>
      </c>
      <c r="F48" s="199">
        <f t="shared" si="16"/>
        <v>-1260616.7454113225</v>
      </c>
      <c r="G48" s="199">
        <f t="shared" si="16"/>
        <v>-1342556.8338630581</v>
      </c>
      <c r="H48" s="199">
        <f t="shared" si="16"/>
        <v>-1429823.0280641578</v>
      </c>
      <c r="I48" s="199">
        <f t="shared" si="16"/>
        <v>-1522761.5248883283</v>
      </c>
      <c r="J48" s="199">
        <f t="shared" si="16"/>
        <v>-1621741.0240060687</v>
      </c>
      <c r="K48" s="199">
        <f t="shared" si="16"/>
        <v>-1727154.1905664634</v>
      </c>
      <c r="L48" s="199">
        <f t="shared" si="16"/>
        <v>-1839419.2129532835</v>
      </c>
      <c r="M48" s="199">
        <f t="shared" si="16"/>
        <v>-1958981.4617952472</v>
      </c>
      <c r="N48" s="199">
        <f t="shared" si="16"/>
        <v>-2086315.2568119373</v>
      </c>
      <c r="O48" s="199">
        <f t="shared" si="16"/>
        <v>-2221925.7485047132</v>
      </c>
      <c r="P48" s="199">
        <f t="shared" si="16"/>
        <v>-2366350.9221575195</v>
      </c>
      <c r="Q48" s="199">
        <f t="shared" si="16"/>
        <v>-2520163.7320977589</v>
      </c>
      <c r="R48" s="199">
        <f t="shared" si="16"/>
        <v>-2683974.3746841131</v>
      </c>
      <c r="S48" s="199">
        <f t="shared" si="16"/>
        <v>-2858432.7090385808</v>
      </c>
      <c r="T48" s="199">
        <f t="shared" si="16"/>
        <v>-3044230.835126088</v>
      </c>
      <c r="U48" s="199">
        <f t="shared" si="16"/>
        <v>-3242105.8394092838</v>
      </c>
      <c r="V48" s="199">
        <f t="shared" si="16"/>
        <v>-3452842.7189708869</v>
      </c>
      <c r="W48" s="199">
        <f t="shared" si="16"/>
        <v>-3677277.4957039948</v>
      </c>
      <c r="X48" s="199">
        <f t="shared" si="16"/>
        <v>-3916300.5329247545</v>
      </c>
      <c r="Y48" s="199">
        <f t="shared" si="16"/>
        <v>-4170860.0675648637</v>
      </c>
      <c r="Z48" s="199">
        <f t="shared" si="16"/>
        <v>-4441965.9719565799</v>
      </c>
      <c r="AA48" s="199">
        <f t="shared" si="16"/>
        <v>-4730693.7601337582</v>
      </c>
      <c r="AB48" s="199">
        <f t="shared" si="16"/>
        <v>-5038188.8545424519</v>
      </c>
      <c r="AC48" s="199">
        <f t="shared" si="16"/>
        <v>-5365671.1300877118</v>
      </c>
      <c r="AD48" s="199">
        <f t="shared" si="16"/>
        <v>-5714439.7535434123</v>
      </c>
      <c r="AE48" s="199">
        <f t="shared" si="16"/>
        <v>-6085878.3375237342</v>
      </c>
      <c r="AF48" s="199">
        <f t="shared" si="16"/>
        <v>-6481460.4294627775</v>
      </c>
      <c r="AG48" s="199">
        <f t="shared" si="16"/>
        <v>-6902755.3573778579</v>
      </c>
    </row>
    <row r="49" spans="1:33" s="133" customFormat="1" x14ac:dyDescent="0.2">
      <c r="A49" s="169"/>
      <c r="C49" s="133" t="s">
        <v>21</v>
      </c>
      <c r="D49" s="199">
        <f>IF(D44&lt;=revrecterm,-PMT(RevRecIntRate,revrecterm,'Purchase Price and DS Calcs'!$E$8,0),0)</f>
        <v>-7351434.455607417</v>
      </c>
      <c r="E49" s="199">
        <f>IF(E44&lt;=revrecterm,-PMT(RevRecIntRate,revrecterm,'Purchase Price and DS Calcs'!$E$8,0),0)</f>
        <v>-7351434.455607417</v>
      </c>
      <c r="F49" s="199">
        <f>IF(F44&lt;=revrecterm,-PMT(RevRecIntRate,revrecterm,'Purchase Price and DS Calcs'!$E$8,0),0)</f>
        <v>-7351434.455607417</v>
      </c>
      <c r="G49" s="199">
        <f>IF(G44&lt;=revrecterm,-PMT(RevRecIntRate,revrecterm,'Purchase Price and DS Calcs'!$E$8,0),0)</f>
        <v>-7351434.455607417</v>
      </c>
      <c r="H49" s="199">
        <f>IF(H44&lt;=revrecterm,-PMT(RevRecIntRate,revrecterm,'Purchase Price and DS Calcs'!$E$8,0),0)</f>
        <v>-7351434.455607417</v>
      </c>
      <c r="I49" s="199">
        <f>IF(I44&lt;=revrecterm,-PMT(RevRecIntRate,revrecterm,'Purchase Price and DS Calcs'!$E$8,0),0)</f>
        <v>-7351434.455607417</v>
      </c>
      <c r="J49" s="199">
        <f>IF(J44&lt;=revrecterm,-PMT(RevRecIntRate,revrecterm,'Purchase Price and DS Calcs'!$E$8,0),0)</f>
        <v>-7351434.455607417</v>
      </c>
      <c r="K49" s="199">
        <f>IF(K44&lt;=revrecterm,-PMT(RevRecIntRate,revrecterm,'Purchase Price and DS Calcs'!$E$8,0),0)</f>
        <v>-7351434.455607417</v>
      </c>
      <c r="L49" s="199">
        <f>IF(L44&lt;=revrecterm,-PMT(RevRecIntRate,revrecterm,'Purchase Price and DS Calcs'!$E$8,0),0)</f>
        <v>-7351434.455607417</v>
      </c>
      <c r="M49" s="199">
        <f>IF(M44&lt;=revrecterm,-PMT(RevRecIntRate,revrecterm,'Purchase Price and DS Calcs'!$E$8,0),0)</f>
        <v>-7351434.455607417</v>
      </c>
      <c r="N49" s="199">
        <f>IF(N44&lt;=revrecterm,-PMT(RevRecIntRate,revrecterm,'Purchase Price and DS Calcs'!$E$8,0),0)</f>
        <v>-7351434.455607417</v>
      </c>
      <c r="O49" s="199">
        <f>IF(O44&lt;=revrecterm,-PMT(RevRecIntRate,revrecterm,'Purchase Price and DS Calcs'!$E$8,0),0)</f>
        <v>-7351434.455607417</v>
      </c>
      <c r="P49" s="199">
        <f>IF(P44&lt;=revrecterm,-PMT(RevRecIntRate,revrecterm,'Purchase Price and DS Calcs'!$E$8,0),0)</f>
        <v>-7351434.455607417</v>
      </c>
      <c r="Q49" s="199">
        <f>IF(Q44&lt;=revrecterm,-PMT(RevRecIntRate,revrecterm,'Purchase Price and DS Calcs'!$E$8,0),0)</f>
        <v>-7351434.455607417</v>
      </c>
      <c r="R49" s="199">
        <f>IF(R44&lt;=revrecterm,-PMT(RevRecIntRate,revrecterm,'Purchase Price and DS Calcs'!$E$8,0),0)</f>
        <v>-7351434.455607417</v>
      </c>
      <c r="S49" s="199">
        <f>IF(S44&lt;=revrecterm,-PMT(RevRecIntRate,revrecterm,'Purchase Price and DS Calcs'!$E$8,0),0)</f>
        <v>-7351434.455607417</v>
      </c>
      <c r="T49" s="199">
        <f>IF(T44&lt;=revrecterm,-PMT(RevRecIntRate,revrecterm,'Purchase Price and DS Calcs'!$E$8,0),0)</f>
        <v>-7351434.455607417</v>
      </c>
      <c r="U49" s="199">
        <f>IF(U44&lt;=revrecterm,-PMT(RevRecIntRate,revrecterm,'Purchase Price and DS Calcs'!$E$8,0),0)</f>
        <v>-7351434.455607417</v>
      </c>
      <c r="V49" s="199">
        <f>IF(V44&lt;=revrecterm,-PMT(RevRecIntRate,revrecterm,'Purchase Price and DS Calcs'!$E$8,0),0)</f>
        <v>-7351434.455607417</v>
      </c>
      <c r="W49" s="199">
        <f>IF(W44&lt;=revrecterm,-PMT(RevRecIntRate,revrecterm,'Purchase Price and DS Calcs'!$E$8,0),0)</f>
        <v>-7351434.455607417</v>
      </c>
      <c r="X49" s="199">
        <f>IF(X44&lt;=revrecterm,-PMT(RevRecIntRate,revrecterm,'Purchase Price and DS Calcs'!$E$8,0),0)</f>
        <v>-7351434.455607417</v>
      </c>
      <c r="Y49" s="199">
        <f>IF(Y44&lt;=revrecterm,-PMT(RevRecIntRate,revrecterm,'Purchase Price and DS Calcs'!$E$8,0),0)</f>
        <v>-7351434.455607417</v>
      </c>
      <c r="Z49" s="199">
        <f>IF(Z44&lt;=revrecterm,-PMT(RevRecIntRate,revrecterm,'Purchase Price and DS Calcs'!$E$8,0),0)</f>
        <v>-7351434.455607417</v>
      </c>
      <c r="AA49" s="199">
        <f>IF(AA44&lt;=revrecterm,-PMT(RevRecIntRate,revrecterm,'Purchase Price and DS Calcs'!$E$8,0),0)</f>
        <v>-7351434.455607417</v>
      </c>
      <c r="AB49" s="199">
        <f>IF(AB44&lt;=revrecterm,-PMT(RevRecIntRate,revrecterm,'Purchase Price and DS Calcs'!$E$8,0),0)</f>
        <v>-7351434.455607417</v>
      </c>
      <c r="AC49" s="199">
        <f>IF(AC44&lt;=revrecterm,-PMT(RevRecIntRate,revrecterm,'Purchase Price and DS Calcs'!$E$8,0),0)</f>
        <v>-7351434.455607417</v>
      </c>
      <c r="AD49" s="199">
        <f>IF(AD44&lt;=revrecterm,-PMT(RevRecIntRate,revrecterm,'Purchase Price and DS Calcs'!$E$8,0),0)</f>
        <v>-7351434.455607417</v>
      </c>
      <c r="AE49" s="199">
        <f>IF(AE44&lt;=revrecterm,-PMT(RevRecIntRate,revrecterm,'Purchase Price and DS Calcs'!$E$8,0),0)</f>
        <v>-7351434.455607417</v>
      </c>
      <c r="AF49" s="199">
        <f>IF(AF44&lt;=revrecterm,-PMT(RevRecIntRate,revrecterm,'Purchase Price and DS Calcs'!$E$8,0),0)</f>
        <v>-7351434.455607417</v>
      </c>
      <c r="AG49" s="199">
        <f>IF(AG44&lt;=revrecterm,-PMT(RevRecIntRate,revrecterm,'Purchase Price and DS Calcs'!$E$8,0),0)</f>
        <v>-7351434.455607417</v>
      </c>
    </row>
    <row r="50" spans="1:33" s="133" customFormat="1" x14ac:dyDescent="0.2">
      <c r="A50" s="169"/>
      <c r="C50" s="133" t="s">
        <v>17</v>
      </c>
      <c r="D50" s="199">
        <f>D46-D48</f>
        <v>-94888565.544392586</v>
      </c>
      <c r="E50" s="199">
        <f>E46-E48</f>
        <v>-93704887.849170685</v>
      </c>
      <c r="F50" s="199">
        <f t="shared" ref="F50:AG50" si="17">F46-F48</f>
        <v>-92444271.103759363</v>
      </c>
      <c r="G50" s="199">
        <f t="shared" si="17"/>
        <v>-91101714.269896299</v>
      </c>
      <c r="H50" s="199">
        <f t="shared" si="17"/>
        <v>-89671891.241832137</v>
      </c>
      <c r="I50" s="199">
        <f t="shared" si="17"/>
        <v>-88149129.716943815</v>
      </c>
      <c r="J50" s="199">
        <f t="shared" si="17"/>
        <v>-86527388.692937747</v>
      </c>
      <c r="K50" s="199">
        <f t="shared" si="17"/>
        <v>-84800234.502371281</v>
      </c>
      <c r="L50" s="199">
        <f t="shared" si="17"/>
        <v>-82960815.289417997</v>
      </c>
      <c r="M50" s="199">
        <f t="shared" si="17"/>
        <v>-81001833.827622756</v>
      </c>
      <c r="N50" s="199">
        <f t="shared" si="17"/>
        <v>-78915518.570810825</v>
      </c>
      <c r="O50" s="199">
        <f t="shared" si="17"/>
        <v>-76693592.822306111</v>
      </c>
      <c r="P50" s="199">
        <f t="shared" si="17"/>
        <v>-74327241.900148585</v>
      </c>
      <c r="Q50" s="199">
        <f t="shared" si="17"/>
        <v>-71807078.168050826</v>
      </c>
      <c r="R50" s="199">
        <f t="shared" si="17"/>
        <v>-69123103.793366715</v>
      </c>
      <c r="S50" s="199">
        <f t="shared" si="17"/>
        <v>-66264671.084328137</v>
      </c>
      <c r="T50" s="199">
        <f t="shared" si="17"/>
        <v>-63220440.24920205</v>
      </c>
      <c r="U50" s="199">
        <f t="shared" si="17"/>
        <v>-59978334.409792766</v>
      </c>
      <c r="V50" s="199">
        <f t="shared" si="17"/>
        <v>-56525491.690821879</v>
      </c>
      <c r="W50" s="199">
        <f t="shared" si="17"/>
        <v>-52848214.195117883</v>
      </c>
      <c r="X50" s="199">
        <f t="shared" si="17"/>
        <v>-48931913.662193127</v>
      </c>
      <c r="Y50" s="199">
        <f t="shared" si="17"/>
        <v>-44761053.59462826</v>
      </c>
      <c r="Z50" s="199">
        <f t="shared" si="17"/>
        <v>-40319087.622671679</v>
      </c>
      <c r="AA50" s="199">
        <f t="shared" si="17"/>
        <v>-35588393.86253792</v>
      </c>
      <c r="AB50" s="199">
        <f t="shared" si="17"/>
        <v>-30550205.007995468</v>
      </c>
      <c r="AC50" s="199">
        <f t="shared" si="17"/>
        <v>-25184533.877907757</v>
      </c>
      <c r="AD50" s="199">
        <f t="shared" si="17"/>
        <v>-19470094.124364346</v>
      </c>
      <c r="AE50" s="199">
        <f t="shared" si="17"/>
        <v>-13384215.786840612</v>
      </c>
      <c r="AF50" s="199">
        <f t="shared" si="17"/>
        <v>-6902755.3573778346</v>
      </c>
      <c r="AG50" s="199">
        <f t="shared" si="17"/>
        <v>2.3283064365386963E-8</v>
      </c>
    </row>
    <row r="51" spans="1:33" s="133" customFormat="1" x14ac:dyDescent="0.2">
      <c r="A51" s="169"/>
    </row>
    <row r="52" spans="1:33" s="133" customFormat="1" x14ac:dyDescent="0.2">
      <c r="A52" s="169"/>
    </row>
    <row r="53" spans="1:33" s="133" customFormat="1" x14ac:dyDescent="0.2">
      <c r="A53" s="169"/>
    </row>
    <row r="54" spans="1:33" s="133" customFormat="1" x14ac:dyDescent="0.2">
      <c r="A54" s="169"/>
    </row>
    <row r="55" spans="1:33" s="133" customFormat="1" x14ac:dyDescent="0.2">
      <c r="A55" s="169"/>
    </row>
    <row r="56" spans="1:33" s="133" customFormat="1" x14ac:dyDescent="0.2">
      <c r="A56" s="169"/>
    </row>
    <row r="57" spans="1:33" s="133" customFormat="1" x14ac:dyDescent="0.2">
      <c r="A57" s="169"/>
    </row>
    <row r="58" spans="1:33" s="133" customFormat="1" x14ac:dyDescent="0.2">
      <c r="A58" s="169"/>
    </row>
    <row r="59" spans="1:33" s="133" customFormat="1" x14ac:dyDescent="0.2">
      <c r="A59" s="169"/>
    </row>
    <row r="60" spans="1:33" s="133" customFormat="1" x14ac:dyDescent="0.2">
      <c r="A60" s="169"/>
    </row>
    <row r="61" spans="1:33" s="133" customFormat="1" x14ac:dyDescent="0.2">
      <c r="A61" s="169"/>
    </row>
    <row r="62" spans="1:33" s="133" customFormat="1" x14ac:dyDescent="0.2">
      <c r="A62" s="169"/>
    </row>
    <row r="63" spans="1:33" s="133" customFormat="1" x14ac:dyDescent="0.2">
      <c r="A63" s="169"/>
    </row>
    <row r="64" spans="1:33" s="133" customFormat="1" x14ac:dyDescent="0.2">
      <c r="A64" s="169"/>
    </row>
    <row r="65" spans="1:1" s="133" customFormat="1" x14ac:dyDescent="0.2">
      <c r="A65" s="169"/>
    </row>
    <row r="66" spans="1:1" s="133" customFormat="1" x14ac:dyDescent="0.2">
      <c r="A66" s="169"/>
    </row>
    <row r="67" spans="1:1" s="133" customFormat="1" x14ac:dyDescent="0.2">
      <c r="A67" s="169"/>
    </row>
    <row r="68" spans="1:1" s="133" customFormat="1" x14ac:dyDescent="0.2">
      <c r="A68" s="169"/>
    </row>
    <row r="69" spans="1:1" s="133" customFormat="1" x14ac:dyDescent="0.2">
      <c r="A69" s="169"/>
    </row>
    <row r="70" spans="1:1" s="133" customFormat="1" x14ac:dyDescent="0.2">
      <c r="A70" s="169"/>
    </row>
    <row r="71" spans="1:1" s="133" customFormat="1" x14ac:dyDescent="0.2">
      <c r="A71" s="169"/>
    </row>
    <row r="72" spans="1:1" s="133" customFormat="1" x14ac:dyDescent="0.2">
      <c r="A72" s="169"/>
    </row>
    <row r="73" spans="1:1" s="133" customFormat="1" x14ac:dyDescent="0.2">
      <c r="A73" s="169"/>
    </row>
    <row r="74" spans="1:1" s="133" customFormat="1" x14ac:dyDescent="0.2">
      <c r="A74" s="169"/>
    </row>
    <row r="75" spans="1:1" s="133" customFormat="1" x14ac:dyDescent="0.2">
      <c r="A75" s="169"/>
    </row>
    <row r="76" spans="1:1" s="133" customFormat="1" x14ac:dyDescent="0.2">
      <c r="A76" s="169"/>
    </row>
    <row r="77" spans="1:1" s="133" customFormat="1" x14ac:dyDescent="0.2">
      <c r="A77" s="169"/>
    </row>
    <row r="78" spans="1:1" s="133" customFormat="1" x14ac:dyDescent="0.2">
      <c r="A78" s="169"/>
    </row>
    <row r="79" spans="1:1" s="133" customFormat="1" x14ac:dyDescent="0.2">
      <c r="A79" s="169"/>
    </row>
    <row r="80" spans="1:1" s="133" customFormat="1" x14ac:dyDescent="0.2">
      <c r="A80" s="169"/>
    </row>
    <row r="81" spans="1:2" s="133" customFormat="1" x14ac:dyDescent="0.2">
      <c r="A81" s="169"/>
    </row>
    <row r="82" spans="1:2" s="133" customFormat="1" x14ac:dyDescent="0.2">
      <c r="A82" s="169"/>
    </row>
    <row r="83" spans="1:2" s="133" customFormat="1" x14ac:dyDescent="0.2">
      <c r="A83" s="169"/>
    </row>
    <row r="84" spans="1:2" s="133" customFormat="1" x14ac:dyDescent="0.2">
      <c r="A84" s="169"/>
    </row>
    <row r="85" spans="1:2" s="133" customFormat="1" x14ac:dyDescent="0.2">
      <c r="A85" s="169"/>
    </row>
    <row r="86" spans="1:2" x14ac:dyDescent="0.2">
      <c r="B86" s="133"/>
    </row>
    <row r="87" spans="1:2" x14ac:dyDescent="0.2">
      <c r="B87" s="133"/>
    </row>
    <row r="88" spans="1:2" x14ac:dyDescent="0.2">
      <c r="B88" s="133"/>
    </row>
    <row r="89" spans="1:2" x14ac:dyDescent="0.2">
      <c r="B89" s="133"/>
    </row>
    <row r="90" spans="1:2" x14ac:dyDescent="0.2">
      <c r="B90" s="133"/>
    </row>
    <row r="91" spans="1:2" x14ac:dyDescent="0.2">
      <c r="B91" s="133"/>
    </row>
    <row r="92" spans="1:2" x14ac:dyDescent="0.2">
      <c r="B92" s="133"/>
    </row>
    <row r="93" spans="1:2" x14ac:dyDescent="0.2">
      <c r="B93" s="133"/>
    </row>
    <row r="94" spans="1:2" x14ac:dyDescent="0.2">
      <c r="B94" s="133"/>
    </row>
    <row r="95" spans="1:2" x14ac:dyDescent="0.2">
      <c r="B95" s="133"/>
    </row>
    <row r="96" spans="1:2" x14ac:dyDescent="0.2">
      <c r="B96" s="133"/>
    </row>
    <row r="97" spans="2:2" x14ac:dyDescent="0.2">
      <c r="B97" s="133"/>
    </row>
    <row r="98" spans="2:2" x14ac:dyDescent="0.2">
      <c r="B98" s="133"/>
    </row>
    <row r="99" spans="2:2" x14ac:dyDescent="0.2">
      <c r="B99" s="133"/>
    </row>
    <row r="100" spans="2:2" x14ac:dyDescent="0.2">
      <c r="B100" s="133"/>
    </row>
    <row r="101" spans="2:2" x14ac:dyDescent="0.2">
      <c r="B101" s="133"/>
    </row>
    <row r="102" spans="2:2" x14ac:dyDescent="0.2">
      <c r="B102" s="133"/>
    </row>
    <row r="103" spans="2:2" x14ac:dyDescent="0.2">
      <c r="B103" s="133"/>
    </row>
    <row r="104" spans="2:2" x14ac:dyDescent="0.2">
      <c r="B104" s="133"/>
    </row>
    <row r="105" spans="2:2" x14ac:dyDescent="0.2">
      <c r="B105" s="133"/>
    </row>
    <row r="106" spans="2:2" x14ac:dyDescent="0.2">
      <c r="B106" s="133"/>
    </row>
    <row r="107" spans="2:2" x14ac:dyDescent="0.2">
      <c r="B107" s="133"/>
    </row>
    <row r="108" spans="2:2" x14ac:dyDescent="0.2">
      <c r="B108" s="133"/>
    </row>
    <row r="109" spans="2:2" x14ac:dyDescent="0.2">
      <c r="B109" s="133"/>
    </row>
    <row r="110" spans="2:2" x14ac:dyDescent="0.2">
      <c r="B110" s="133"/>
    </row>
    <row r="111" spans="2:2" x14ac:dyDescent="0.2">
      <c r="B111" s="133"/>
    </row>
    <row r="112" spans="2:2" x14ac:dyDescent="0.2">
      <c r="B112" s="133"/>
    </row>
    <row r="113" spans="2:2" x14ac:dyDescent="0.2">
      <c r="B113" s="133"/>
    </row>
    <row r="114" spans="2:2" x14ac:dyDescent="0.2">
      <c r="B114" s="133"/>
    </row>
    <row r="115" spans="2:2" x14ac:dyDescent="0.2">
      <c r="B115" s="133"/>
    </row>
    <row r="116" spans="2:2" x14ac:dyDescent="0.2">
      <c r="B116" s="133"/>
    </row>
    <row r="117" spans="2:2" x14ac:dyDescent="0.2">
      <c r="B117" s="133"/>
    </row>
    <row r="118" spans="2:2" x14ac:dyDescent="0.2">
      <c r="B118" s="133"/>
    </row>
    <row r="119" spans="2:2" x14ac:dyDescent="0.2">
      <c r="B119" s="133"/>
    </row>
    <row r="120" spans="2:2" x14ac:dyDescent="0.2">
      <c r="B120" s="133"/>
    </row>
    <row r="121" spans="2:2" x14ac:dyDescent="0.2">
      <c r="B121" s="133"/>
    </row>
    <row r="122" spans="2:2" x14ac:dyDescent="0.2">
      <c r="B122" s="133"/>
    </row>
    <row r="123" spans="2:2" x14ac:dyDescent="0.2">
      <c r="B123" s="133"/>
    </row>
    <row r="124" spans="2:2" x14ac:dyDescent="0.2">
      <c r="B124" s="133"/>
    </row>
    <row r="125" spans="2:2" x14ac:dyDescent="0.2">
      <c r="B125" s="133"/>
    </row>
    <row r="126" spans="2:2" x14ac:dyDescent="0.2">
      <c r="B126" s="133"/>
    </row>
    <row r="127" spans="2:2" x14ac:dyDescent="0.2">
      <c r="B127" s="133"/>
    </row>
    <row r="128" spans="2:2" x14ac:dyDescent="0.2">
      <c r="B128" s="133"/>
    </row>
    <row r="129" spans="2:2" x14ac:dyDescent="0.2">
      <c r="B129" s="133"/>
    </row>
    <row r="130" spans="2:2" x14ac:dyDescent="0.2">
      <c r="B130" s="133"/>
    </row>
    <row r="131" spans="2:2" x14ac:dyDescent="0.2">
      <c r="B131" s="133"/>
    </row>
    <row r="132" spans="2:2" x14ac:dyDescent="0.2">
      <c r="B132" s="133"/>
    </row>
    <row r="133" spans="2:2" x14ac:dyDescent="0.2">
      <c r="B133" s="133"/>
    </row>
    <row r="134" spans="2:2" x14ac:dyDescent="0.2">
      <c r="B134" s="133"/>
    </row>
    <row r="135" spans="2:2" x14ac:dyDescent="0.2">
      <c r="B135" s="133"/>
    </row>
    <row r="136" spans="2:2" x14ac:dyDescent="0.2">
      <c r="B136" s="133"/>
    </row>
    <row r="137" spans="2:2" x14ac:dyDescent="0.2">
      <c r="B137" s="133"/>
    </row>
    <row r="138" spans="2:2" x14ac:dyDescent="0.2">
      <c r="B138" s="133"/>
    </row>
    <row r="139" spans="2:2" x14ac:dyDescent="0.2">
      <c r="B139" s="133"/>
    </row>
    <row r="140" spans="2:2" x14ac:dyDescent="0.2">
      <c r="B140" s="133"/>
    </row>
    <row r="141" spans="2:2" x14ac:dyDescent="0.2">
      <c r="B141" s="133"/>
    </row>
    <row r="142" spans="2:2" x14ac:dyDescent="0.2">
      <c r="B142" s="133"/>
    </row>
    <row r="143" spans="2:2" x14ac:dyDescent="0.2">
      <c r="B143" s="133"/>
    </row>
    <row r="144" spans="2:2" x14ac:dyDescent="0.2">
      <c r="B144" s="133"/>
    </row>
    <row r="145" spans="2:2" x14ac:dyDescent="0.2">
      <c r="B145" s="133"/>
    </row>
    <row r="146" spans="2:2" x14ac:dyDescent="0.2">
      <c r="B146" s="133"/>
    </row>
    <row r="147" spans="2:2" x14ac:dyDescent="0.2">
      <c r="B147" s="133"/>
    </row>
    <row r="148" spans="2:2" x14ac:dyDescent="0.2">
      <c r="B148" s="133"/>
    </row>
    <row r="149" spans="2:2" x14ac:dyDescent="0.2">
      <c r="B149" s="133"/>
    </row>
    <row r="150" spans="2:2" x14ac:dyDescent="0.2">
      <c r="B150" s="133"/>
    </row>
    <row r="151" spans="2:2" x14ac:dyDescent="0.2">
      <c r="B151" s="133"/>
    </row>
    <row r="152" spans="2:2" x14ac:dyDescent="0.2">
      <c r="B152" s="133"/>
    </row>
    <row r="153" spans="2:2" x14ac:dyDescent="0.2">
      <c r="B153" s="133"/>
    </row>
    <row r="154" spans="2:2" x14ac:dyDescent="0.2">
      <c r="B154" s="133"/>
    </row>
    <row r="155" spans="2:2" x14ac:dyDescent="0.2">
      <c r="B155" s="133"/>
    </row>
    <row r="156" spans="2:2" x14ac:dyDescent="0.2">
      <c r="B156" s="133"/>
    </row>
    <row r="157" spans="2:2" x14ac:dyDescent="0.2">
      <c r="B157" s="133"/>
    </row>
    <row r="158" spans="2:2" x14ac:dyDescent="0.2">
      <c r="B158" s="133"/>
    </row>
    <row r="159" spans="2:2" x14ac:dyDescent="0.2">
      <c r="B159" s="133"/>
    </row>
    <row r="160" spans="2:2" x14ac:dyDescent="0.2">
      <c r="B160" s="133"/>
    </row>
    <row r="161" spans="2:2" x14ac:dyDescent="0.2">
      <c r="B161" s="133"/>
    </row>
    <row r="162" spans="2:2" x14ac:dyDescent="0.2">
      <c r="B162" s="133"/>
    </row>
    <row r="163" spans="2:2" x14ac:dyDescent="0.2">
      <c r="B163" s="133"/>
    </row>
    <row r="164" spans="2:2" x14ac:dyDescent="0.2">
      <c r="B164" s="133"/>
    </row>
    <row r="165" spans="2:2" x14ac:dyDescent="0.2">
      <c r="B165" s="133"/>
    </row>
    <row r="166" spans="2:2" x14ac:dyDescent="0.2">
      <c r="B166" s="133"/>
    </row>
    <row r="167" spans="2:2" x14ac:dyDescent="0.2">
      <c r="B167" s="133"/>
    </row>
    <row r="168" spans="2:2" x14ac:dyDescent="0.2">
      <c r="B168" s="133"/>
    </row>
    <row r="169" spans="2:2" x14ac:dyDescent="0.2">
      <c r="B169" s="133"/>
    </row>
    <row r="170" spans="2:2" x14ac:dyDescent="0.2">
      <c r="B170" s="133"/>
    </row>
    <row r="171" spans="2:2" x14ac:dyDescent="0.2">
      <c r="B171" s="133"/>
    </row>
    <row r="172" spans="2:2" x14ac:dyDescent="0.2">
      <c r="B172" s="133"/>
    </row>
    <row r="173" spans="2:2" x14ac:dyDescent="0.2">
      <c r="B173" s="133"/>
    </row>
    <row r="174" spans="2:2" x14ac:dyDescent="0.2">
      <c r="B174" s="133"/>
    </row>
    <row r="175" spans="2:2" x14ac:dyDescent="0.2">
      <c r="B175" s="133"/>
    </row>
    <row r="176" spans="2:2" x14ac:dyDescent="0.2">
      <c r="B176" s="133"/>
    </row>
    <row r="177" spans="2:2" x14ac:dyDescent="0.2">
      <c r="B177" s="133"/>
    </row>
    <row r="178" spans="2:2" x14ac:dyDescent="0.2">
      <c r="B178" s="133"/>
    </row>
    <row r="179" spans="2:2" x14ac:dyDescent="0.2">
      <c r="B179" s="133"/>
    </row>
    <row r="180" spans="2:2" x14ac:dyDescent="0.2">
      <c r="B180" s="133"/>
    </row>
    <row r="181" spans="2:2" x14ac:dyDescent="0.2">
      <c r="B181" s="133"/>
    </row>
    <row r="182" spans="2:2" x14ac:dyDescent="0.2">
      <c r="B182" s="133"/>
    </row>
    <row r="183" spans="2:2" x14ac:dyDescent="0.2">
      <c r="B183" s="133"/>
    </row>
    <row r="184" spans="2:2" x14ac:dyDescent="0.2">
      <c r="B184" s="133"/>
    </row>
    <row r="185" spans="2:2" x14ac:dyDescent="0.2">
      <c r="B185" s="133"/>
    </row>
    <row r="186" spans="2:2" x14ac:dyDescent="0.2">
      <c r="B186" s="133"/>
    </row>
    <row r="187" spans="2:2" x14ac:dyDescent="0.2">
      <c r="B187" s="133"/>
    </row>
    <row r="188" spans="2:2" x14ac:dyDescent="0.2">
      <c r="B188" s="133"/>
    </row>
    <row r="189" spans="2:2" x14ac:dyDescent="0.2">
      <c r="B189" s="133"/>
    </row>
    <row r="190" spans="2:2" x14ac:dyDescent="0.2">
      <c r="B190" s="133"/>
    </row>
    <row r="191" spans="2:2" x14ac:dyDescent="0.2">
      <c r="B191" s="133"/>
    </row>
    <row r="192" spans="2:2" x14ac:dyDescent="0.2">
      <c r="B192" s="133"/>
    </row>
    <row r="193" spans="2:2" x14ac:dyDescent="0.2">
      <c r="B193" s="133"/>
    </row>
    <row r="194" spans="2:2" x14ac:dyDescent="0.2">
      <c r="B194" s="133"/>
    </row>
    <row r="195" spans="2:2" x14ac:dyDescent="0.2">
      <c r="B195" s="133"/>
    </row>
    <row r="196" spans="2:2" x14ac:dyDescent="0.2">
      <c r="B196" s="133"/>
    </row>
    <row r="197" spans="2:2" x14ac:dyDescent="0.2">
      <c r="B197" s="133"/>
    </row>
    <row r="198" spans="2:2" x14ac:dyDescent="0.2">
      <c r="B198" s="133"/>
    </row>
    <row r="199" spans="2:2" x14ac:dyDescent="0.2">
      <c r="B199" s="133"/>
    </row>
    <row r="200" spans="2:2" x14ac:dyDescent="0.2">
      <c r="B200" s="133"/>
    </row>
    <row r="201" spans="2:2" x14ac:dyDescent="0.2">
      <c r="B201" s="133"/>
    </row>
    <row r="202" spans="2:2" x14ac:dyDescent="0.2">
      <c r="B202" s="133"/>
    </row>
    <row r="203" spans="2:2" x14ac:dyDescent="0.2">
      <c r="B203" s="133"/>
    </row>
    <row r="204" spans="2:2" x14ac:dyDescent="0.2">
      <c r="B204" s="133"/>
    </row>
    <row r="205" spans="2:2" x14ac:dyDescent="0.2">
      <c r="B205" s="133"/>
    </row>
    <row r="206" spans="2:2" x14ac:dyDescent="0.2">
      <c r="B206" s="133"/>
    </row>
    <row r="207" spans="2:2" x14ac:dyDescent="0.2">
      <c r="B207" s="133"/>
    </row>
    <row r="208" spans="2:2" x14ac:dyDescent="0.2">
      <c r="B208" s="133"/>
    </row>
    <row r="209" spans="2:2" x14ac:dyDescent="0.2">
      <c r="B209" s="133"/>
    </row>
    <row r="210" spans="2:2" x14ac:dyDescent="0.2">
      <c r="B210" s="133"/>
    </row>
    <row r="211" spans="2:2" x14ac:dyDescent="0.2">
      <c r="B211" s="133"/>
    </row>
    <row r="212" spans="2:2" x14ac:dyDescent="0.2">
      <c r="B212" s="133"/>
    </row>
    <row r="213" spans="2:2" x14ac:dyDescent="0.2">
      <c r="B213" s="133"/>
    </row>
    <row r="214" spans="2:2" x14ac:dyDescent="0.2">
      <c r="B214" s="133"/>
    </row>
    <row r="215" spans="2:2" x14ac:dyDescent="0.2">
      <c r="B215" s="133"/>
    </row>
    <row r="216" spans="2:2" x14ac:dyDescent="0.2">
      <c r="B216" s="133"/>
    </row>
    <row r="217" spans="2:2" x14ac:dyDescent="0.2">
      <c r="B217" s="133"/>
    </row>
    <row r="218" spans="2:2" x14ac:dyDescent="0.2">
      <c r="B218" s="133"/>
    </row>
    <row r="219" spans="2:2" x14ac:dyDescent="0.2">
      <c r="B219" s="133"/>
    </row>
    <row r="220" spans="2:2" x14ac:dyDescent="0.2">
      <c r="B220" s="133"/>
    </row>
    <row r="221" spans="2:2" x14ac:dyDescent="0.2">
      <c r="B221" s="133"/>
    </row>
    <row r="222" spans="2:2" x14ac:dyDescent="0.2">
      <c r="B222" s="133"/>
    </row>
    <row r="223" spans="2:2" x14ac:dyDescent="0.2">
      <c r="B223" s="133"/>
    </row>
    <row r="224" spans="2:2" x14ac:dyDescent="0.2">
      <c r="B224" s="133"/>
    </row>
    <row r="225" spans="2:2" x14ac:dyDescent="0.2">
      <c r="B225" s="133"/>
    </row>
    <row r="226" spans="2:2" x14ac:dyDescent="0.2">
      <c r="B226" s="133"/>
    </row>
    <row r="227" spans="2:2" x14ac:dyDescent="0.2">
      <c r="B227" s="133"/>
    </row>
    <row r="228" spans="2:2" x14ac:dyDescent="0.2">
      <c r="B228" s="133"/>
    </row>
    <row r="229" spans="2:2" x14ac:dyDescent="0.2">
      <c r="B229" s="133"/>
    </row>
    <row r="230" spans="2:2" x14ac:dyDescent="0.2">
      <c r="B230" s="133"/>
    </row>
    <row r="231" spans="2:2" x14ac:dyDescent="0.2">
      <c r="B231" s="133"/>
    </row>
    <row r="232" spans="2:2" x14ac:dyDescent="0.2">
      <c r="B232" s="133"/>
    </row>
    <row r="233" spans="2:2" x14ac:dyDescent="0.2">
      <c r="B233" s="133"/>
    </row>
    <row r="234" spans="2:2" x14ac:dyDescent="0.2">
      <c r="B234" s="133"/>
    </row>
    <row r="235" spans="2:2" x14ac:dyDescent="0.2">
      <c r="B235" s="133"/>
    </row>
    <row r="236" spans="2:2" x14ac:dyDescent="0.2">
      <c r="B236" s="133"/>
    </row>
    <row r="237" spans="2:2" x14ac:dyDescent="0.2">
      <c r="B237" s="133"/>
    </row>
    <row r="238" spans="2:2" x14ac:dyDescent="0.2">
      <c r="B238" s="133"/>
    </row>
    <row r="239" spans="2:2" x14ac:dyDescent="0.2">
      <c r="B239" s="133"/>
    </row>
    <row r="240" spans="2:2" x14ac:dyDescent="0.2">
      <c r="B240" s="133"/>
    </row>
    <row r="241" spans="2:2" x14ac:dyDescent="0.2">
      <c r="B241" s="133"/>
    </row>
    <row r="242" spans="2:2" x14ac:dyDescent="0.2">
      <c r="B242" s="133"/>
    </row>
    <row r="243" spans="2:2" x14ac:dyDescent="0.2">
      <c r="B243" s="133"/>
    </row>
    <row r="244" spans="2:2" x14ac:dyDescent="0.2">
      <c r="B244" s="133"/>
    </row>
    <row r="245" spans="2:2" x14ac:dyDescent="0.2">
      <c r="B245" s="133"/>
    </row>
    <row r="246" spans="2:2" x14ac:dyDescent="0.2">
      <c r="B246" s="133"/>
    </row>
    <row r="247" spans="2:2" x14ac:dyDescent="0.2">
      <c r="B247" s="133"/>
    </row>
    <row r="248" spans="2:2" x14ac:dyDescent="0.2">
      <c r="B248" s="133"/>
    </row>
    <row r="249" spans="2:2" x14ac:dyDescent="0.2">
      <c r="B249" s="133"/>
    </row>
    <row r="250" spans="2:2" x14ac:dyDescent="0.2">
      <c r="B250" s="133"/>
    </row>
    <row r="251" spans="2:2" x14ac:dyDescent="0.2">
      <c r="B251" s="133"/>
    </row>
    <row r="252" spans="2:2" x14ac:dyDescent="0.2">
      <c r="B252" s="133"/>
    </row>
    <row r="253" spans="2:2" x14ac:dyDescent="0.2">
      <c r="B253" s="133"/>
    </row>
    <row r="254" spans="2:2" x14ac:dyDescent="0.2">
      <c r="B254" s="133"/>
    </row>
    <row r="255" spans="2:2" x14ac:dyDescent="0.2">
      <c r="B255" s="133"/>
    </row>
    <row r="256" spans="2:2" x14ac:dyDescent="0.2">
      <c r="B256" s="133"/>
    </row>
    <row r="257" spans="2:2" x14ac:dyDescent="0.2">
      <c r="B257" s="133"/>
    </row>
    <row r="258" spans="2:2" x14ac:dyDescent="0.2">
      <c r="B258" s="133"/>
    </row>
    <row r="259" spans="2:2" x14ac:dyDescent="0.2">
      <c r="B259" s="133"/>
    </row>
    <row r="260" spans="2:2" x14ac:dyDescent="0.2">
      <c r="B260" s="133"/>
    </row>
    <row r="261" spans="2:2" x14ac:dyDescent="0.2">
      <c r="B261" s="133"/>
    </row>
    <row r="262" spans="2:2" x14ac:dyDescent="0.2">
      <c r="B262" s="133"/>
    </row>
    <row r="263" spans="2:2" x14ac:dyDescent="0.2">
      <c r="B263" s="133"/>
    </row>
    <row r="264" spans="2:2" x14ac:dyDescent="0.2">
      <c r="B264" s="133"/>
    </row>
    <row r="265" spans="2:2" x14ac:dyDescent="0.2">
      <c r="B265" s="133"/>
    </row>
    <row r="266" spans="2:2" x14ac:dyDescent="0.2">
      <c r="B266" s="133"/>
    </row>
    <row r="267" spans="2:2" x14ac:dyDescent="0.2">
      <c r="B267" s="133"/>
    </row>
    <row r="268" spans="2:2" x14ac:dyDescent="0.2">
      <c r="B268" s="133"/>
    </row>
    <row r="269" spans="2:2" x14ac:dyDescent="0.2">
      <c r="B269" s="133"/>
    </row>
    <row r="270" spans="2:2" x14ac:dyDescent="0.2">
      <c r="B270" s="133"/>
    </row>
    <row r="271" spans="2:2" x14ac:dyDescent="0.2">
      <c r="B271" s="133"/>
    </row>
    <row r="272" spans="2:2" x14ac:dyDescent="0.2">
      <c r="B272" s="133"/>
    </row>
    <row r="273" spans="2:2" x14ac:dyDescent="0.2">
      <c r="B273" s="133"/>
    </row>
    <row r="274" spans="2:2" x14ac:dyDescent="0.2">
      <c r="B274" s="133"/>
    </row>
    <row r="275" spans="2:2" x14ac:dyDescent="0.2">
      <c r="B275" s="133"/>
    </row>
    <row r="276" spans="2:2" x14ac:dyDescent="0.2">
      <c r="B276" s="133"/>
    </row>
    <row r="277" spans="2:2" x14ac:dyDescent="0.2">
      <c r="B277" s="133"/>
    </row>
    <row r="278" spans="2:2" x14ac:dyDescent="0.2">
      <c r="B278" s="133"/>
    </row>
    <row r="279" spans="2:2" x14ac:dyDescent="0.2">
      <c r="B279" s="133"/>
    </row>
    <row r="280" spans="2:2" x14ac:dyDescent="0.2">
      <c r="B280" s="133"/>
    </row>
    <row r="281" spans="2:2" x14ac:dyDescent="0.2">
      <c r="B281" s="133"/>
    </row>
    <row r="282" spans="2:2" x14ac:dyDescent="0.2">
      <c r="B282" s="133"/>
    </row>
    <row r="283" spans="2:2" x14ac:dyDescent="0.2">
      <c r="B283" s="133"/>
    </row>
    <row r="284" spans="2:2" x14ac:dyDescent="0.2">
      <c r="B284" s="133"/>
    </row>
    <row r="285" spans="2:2" x14ac:dyDescent="0.2">
      <c r="B285" s="133"/>
    </row>
    <row r="286" spans="2:2" x14ac:dyDescent="0.2">
      <c r="B286" s="133"/>
    </row>
    <row r="287" spans="2:2" x14ac:dyDescent="0.2">
      <c r="B287" s="133"/>
    </row>
    <row r="288" spans="2:2" x14ac:dyDescent="0.2">
      <c r="B288" s="133"/>
    </row>
    <row r="289" spans="2:2" x14ac:dyDescent="0.2">
      <c r="B289" s="133"/>
    </row>
    <row r="290" spans="2:2" x14ac:dyDescent="0.2">
      <c r="B290" s="133"/>
    </row>
    <row r="291" spans="2:2" x14ac:dyDescent="0.2">
      <c r="B291" s="133"/>
    </row>
    <row r="292" spans="2:2" x14ac:dyDescent="0.2">
      <c r="B292" s="133"/>
    </row>
    <row r="293" spans="2:2" x14ac:dyDescent="0.2">
      <c r="B293" s="133"/>
    </row>
    <row r="294" spans="2:2" x14ac:dyDescent="0.2">
      <c r="B294" s="133"/>
    </row>
    <row r="295" spans="2:2" x14ac:dyDescent="0.2">
      <c r="B295" s="133"/>
    </row>
    <row r="296" spans="2:2" x14ac:dyDescent="0.2">
      <c r="B296" s="133"/>
    </row>
    <row r="297" spans="2:2" x14ac:dyDescent="0.2">
      <c r="B297" s="133"/>
    </row>
    <row r="298" spans="2:2" x14ac:dyDescent="0.2">
      <c r="B298" s="133"/>
    </row>
    <row r="299" spans="2:2" x14ac:dyDescent="0.2">
      <c r="B299" s="133"/>
    </row>
    <row r="300" spans="2:2" x14ac:dyDescent="0.2">
      <c r="B300" s="133"/>
    </row>
    <row r="301" spans="2:2" x14ac:dyDescent="0.2">
      <c r="B301" s="133"/>
    </row>
    <row r="302" spans="2:2" x14ac:dyDescent="0.2">
      <c r="B302" s="133"/>
    </row>
    <row r="303" spans="2:2" x14ac:dyDescent="0.2">
      <c r="B303" s="133"/>
    </row>
    <row r="304" spans="2:2" x14ac:dyDescent="0.2">
      <c r="B304" s="133"/>
    </row>
    <row r="305" spans="2:2" x14ac:dyDescent="0.2">
      <c r="B305" s="133"/>
    </row>
    <row r="306" spans="2:2" x14ac:dyDescent="0.2">
      <c r="B306" s="133"/>
    </row>
    <row r="307" spans="2:2" x14ac:dyDescent="0.2">
      <c r="B307" s="133"/>
    </row>
    <row r="308" spans="2:2" x14ac:dyDescent="0.2">
      <c r="B308" s="133"/>
    </row>
    <row r="309" spans="2:2" x14ac:dyDescent="0.2">
      <c r="B309" s="133"/>
    </row>
    <row r="310" spans="2:2" x14ac:dyDescent="0.2">
      <c r="B310" s="133"/>
    </row>
    <row r="311" spans="2:2" x14ac:dyDescent="0.2">
      <c r="B311" s="133"/>
    </row>
    <row r="312" spans="2:2" x14ac:dyDescent="0.2">
      <c r="B312" s="133"/>
    </row>
  </sheetData>
  <mergeCells count="5">
    <mergeCell ref="B17:F17"/>
    <mergeCell ref="B7:F7"/>
    <mergeCell ref="B12:F12"/>
    <mergeCell ref="E1:F1"/>
    <mergeCell ref="B2:D2"/>
  </mergeCells>
  <pageMargins left="0.7" right="0.7" top="0.75" bottom="0.75" header="0.3" footer="0.3"/>
  <pageSetup scale="92" orientation="portrait" r:id="rId1"/>
  <headerFooter>
    <oddHeader>&amp;CDraft  Purchase Price and Debt Service Calculations
As of Thursday, September 19, 2013</oddHeader>
    <oddFooter>&amp;CDraft  Purchase Price and Debt Service Calculations, As of Thursday, September 19 2013,  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58"/>
  <sheetViews>
    <sheetView topLeftCell="A24" zoomScaleNormal="100" workbookViewId="0">
      <selection activeCell="D25" sqref="D25"/>
    </sheetView>
  </sheetViews>
  <sheetFormatPr defaultRowHeight="12.75" x14ac:dyDescent="0.2"/>
  <cols>
    <col min="1" max="1" width="8.33203125" style="64" customWidth="1"/>
    <col min="2" max="2" width="15.1640625" style="1" customWidth="1"/>
    <col min="3" max="3" width="35.1640625" style="1" customWidth="1"/>
    <col min="4" max="33" width="14.83203125" style="1" customWidth="1"/>
    <col min="34" max="34" width="17.5" style="1" customWidth="1"/>
    <col min="35" max="37" width="14.83203125" style="1" customWidth="1"/>
    <col min="38" max="40" width="13.83203125" style="1" customWidth="1"/>
    <col min="41" max="41" width="12.83203125" style="1" customWidth="1"/>
    <col min="42" max="16384" width="9.33203125" style="1"/>
  </cols>
  <sheetData>
    <row r="1" spans="1:33" x14ac:dyDescent="0.2">
      <c r="D1" s="7"/>
    </row>
    <row r="2" spans="1:33" ht="15.75" x14ac:dyDescent="0.25">
      <c r="C2" s="9" t="s">
        <v>195</v>
      </c>
      <c r="J2" s="5" t="str">
        <f>$C$2</f>
        <v>Current PPA Cost (Base Case)</v>
      </c>
      <c r="L2" s="9"/>
      <c r="R2" s="5" t="str">
        <f>$C$2</f>
        <v>Current PPA Cost (Base Case)</v>
      </c>
      <c r="T2" s="9"/>
      <c r="W2" s="9"/>
      <c r="Z2" s="5" t="str">
        <f>$C$2</f>
        <v>Current PPA Cost (Base Case)</v>
      </c>
      <c r="AB2" s="9"/>
      <c r="AE2" s="9"/>
    </row>
    <row r="3" spans="1:33" x14ac:dyDescent="0.2">
      <c r="C3" s="23" t="s">
        <v>12</v>
      </c>
      <c r="D3" s="24">
        <v>1</v>
      </c>
      <c r="E3" s="24">
        <f>+D3+1</f>
        <v>2</v>
      </c>
      <c r="F3" s="24">
        <f t="shared" ref="F3:U4" si="0">+E3+1</f>
        <v>3</v>
      </c>
      <c r="G3" s="24">
        <f t="shared" si="0"/>
        <v>4</v>
      </c>
      <c r="H3" s="24">
        <f t="shared" si="0"/>
        <v>5</v>
      </c>
      <c r="I3" s="24">
        <f t="shared" si="0"/>
        <v>6</v>
      </c>
      <c r="J3" s="24">
        <f t="shared" si="0"/>
        <v>7</v>
      </c>
      <c r="K3" s="24">
        <f t="shared" si="0"/>
        <v>8</v>
      </c>
      <c r="L3" s="24">
        <f t="shared" si="0"/>
        <v>9</v>
      </c>
      <c r="M3" s="24">
        <f t="shared" si="0"/>
        <v>10</v>
      </c>
      <c r="N3" s="24">
        <f t="shared" si="0"/>
        <v>11</v>
      </c>
      <c r="O3" s="24">
        <f t="shared" si="0"/>
        <v>12</v>
      </c>
      <c r="P3" s="24">
        <f t="shared" si="0"/>
        <v>13</v>
      </c>
      <c r="Q3" s="24">
        <f t="shared" si="0"/>
        <v>14</v>
      </c>
      <c r="R3" s="24">
        <f t="shared" si="0"/>
        <v>15</v>
      </c>
      <c r="S3" s="24">
        <f t="shared" si="0"/>
        <v>16</v>
      </c>
      <c r="T3" s="24">
        <f t="shared" si="0"/>
        <v>17</v>
      </c>
      <c r="U3" s="24">
        <f t="shared" si="0"/>
        <v>18</v>
      </c>
      <c r="V3" s="24">
        <f t="shared" ref="V3:AG4" si="1">+U3+1</f>
        <v>19</v>
      </c>
      <c r="W3" s="24">
        <f t="shared" si="1"/>
        <v>20</v>
      </c>
      <c r="X3" s="24">
        <f t="shared" si="1"/>
        <v>21</v>
      </c>
      <c r="Y3" s="24">
        <f t="shared" si="1"/>
        <v>22</v>
      </c>
      <c r="Z3" s="24">
        <f t="shared" si="1"/>
        <v>23</v>
      </c>
      <c r="AA3" s="24">
        <f t="shared" si="1"/>
        <v>24</v>
      </c>
      <c r="AB3" s="24">
        <f t="shared" si="1"/>
        <v>25</v>
      </c>
      <c r="AC3" s="24">
        <f t="shared" si="1"/>
        <v>26</v>
      </c>
      <c r="AD3" s="24">
        <f t="shared" si="1"/>
        <v>27</v>
      </c>
      <c r="AE3" s="24">
        <f t="shared" si="1"/>
        <v>28</v>
      </c>
      <c r="AF3" s="24">
        <f t="shared" si="1"/>
        <v>29</v>
      </c>
      <c r="AG3" s="24">
        <f t="shared" si="1"/>
        <v>30</v>
      </c>
    </row>
    <row r="4" spans="1:33" x14ac:dyDescent="0.2">
      <c r="C4" s="23" t="s">
        <v>29</v>
      </c>
      <c r="D4" s="24">
        <v>2014</v>
      </c>
      <c r="E4" s="24">
        <f>+D4+1</f>
        <v>2015</v>
      </c>
      <c r="F4" s="24">
        <f t="shared" si="0"/>
        <v>2016</v>
      </c>
      <c r="G4" s="24">
        <f t="shared" si="0"/>
        <v>2017</v>
      </c>
      <c r="H4" s="24">
        <f t="shared" si="0"/>
        <v>2018</v>
      </c>
      <c r="I4" s="24">
        <f t="shared" si="0"/>
        <v>2019</v>
      </c>
      <c r="J4" s="24">
        <f t="shared" si="0"/>
        <v>2020</v>
      </c>
      <c r="K4" s="24">
        <f t="shared" si="0"/>
        <v>2021</v>
      </c>
      <c r="L4" s="24">
        <f t="shared" si="0"/>
        <v>2022</v>
      </c>
      <c r="M4" s="24">
        <f t="shared" si="0"/>
        <v>2023</v>
      </c>
      <c r="N4" s="24">
        <f t="shared" si="0"/>
        <v>2024</v>
      </c>
      <c r="O4" s="24">
        <f t="shared" si="0"/>
        <v>2025</v>
      </c>
      <c r="P4" s="24">
        <f t="shared" si="0"/>
        <v>2026</v>
      </c>
      <c r="Q4" s="24">
        <f t="shared" si="0"/>
        <v>2027</v>
      </c>
      <c r="R4" s="24">
        <f t="shared" si="0"/>
        <v>2028</v>
      </c>
      <c r="S4" s="24">
        <f t="shared" si="0"/>
        <v>2029</v>
      </c>
      <c r="T4" s="24">
        <f t="shared" si="0"/>
        <v>2030</v>
      </c>
      <c r="U4" s="24">
        <f t="shared" si="0"/>
        <v>2031</v>
      </c>
      <c r="V4" s="24">
        <f t="shared" si="1"/>
        <v>2032</v>
      </c>
      <c r="W4" s="24">
        <f t="shared" si="1"/>
        <v>2033</v>
      </c>
      <c r="X4" s="24">
        <f t="shared" si="1"/>
        <v>2034</v>
      </c>
      <c r="Y4" s="24">
        <f t="shared" si="1"/>
        <v>2035</v>
      </c>
      <c r="Z4" s="24">
        <f t="shared" si="1"/>
        <v>2036</v>
      </c>
      <c r="AA4" s="24">
        <f t="shared" si="1"/>
        <v>2037</v>
      </c>
      <c r="AB4" s="24">
        <f t="shared" si="1"/>
        <v>2038</v>
      </c>
      <c r="AC4" s="24">
        <f t="shared" si="1"/>
        <v>2039</v>
      </c>
      <c r="AD4" s="24">
        <f t="shared" si="1"/>
        <v>2040</v>
      </c>
      <c r="AE4" s="24">
        <f t="shared" si="1"/>
        <v>2041</v>
      </c>
      <c r="AF4" s="24">
        <f t="shared" si="1"/>
        <v>2042</v>
      </c>
      <c r="AG4" s="24">
        <f t="shared" si="1"/>
        <v>2043</v>
      </c>
    </row>
    <row r="5" spans="1:33" ht="3.95" customHeight="1" x14ac:dyDescent="0.2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x14ac:dyDescent="0.2">
      <c r="A6" s="184" t="s">
        <v>142</v>
      </c>
      <c r="C6" s="18" t="s">
        <v>159</v>
      </c>
      <c r="D6" s="19"/>
      <c r="E6" s="19"/>
      <c r="F6" s="19"/>
      <c r="G6" s="19"/>
      <c r="H6" s="19"/>
      <c r="I6" s="19"/>
      <c r="J6" s="18" t="str">
        <f>C6</f>
        <v>EXPECTED ASSET PERFORMANCE</v>
      </c>
      <c r="K6" s="19"/>
      <c r="L6" s="19"/>
      <c r="M6" s="19"/>
      <c r="N6" s="19"/>
      <c r="O6" s="19"/>
      <c r="P6" s="19"/>
      <c r="Q6" s="19"/>
      <c r="R6" s="18" t="str">
        <f>C6</f>
        <v>EXPECTED ASSET PERFORMANCE</v>
      </c>
      <c r="S6" s="19"/>
      <c r="T6" s="19"/>
      <c r="U6" s="19"/>
      <c r="V6" s="19"/>
      <c r="W6" s="19"/>
      <c r="X6" s="19"/>
      <c r="Y6" s="19"/>
      <c r="Z6" s="18" t="str">
        <f>C6</f>
        <v>EXPECTED ASSET PERFORMANCE</v>
      </c>
      <c r="AA6" s="19"/>
      <c r="AB6" s="19"/>
      <c r="AC6" s="19"/>
      <c r="AD6" s="19"/>
      <c r="AE6" s="19"/>
      <c r="AF6" s="19"/>
      <c r="AG6" s="19"/>
    </row>
    <row r="7" spans="1:33" x14ac:dyDescent="0.2">
      <c r="A7" s="184">
        <v>7</v>
      </c>
      <c r="B7" s="346"/>
      <c r="C7" s="1" t="s">
        <v>1</v>
      </c>
      <c r="D7" s="12">
        <f>'Inputs '!C40</f>
        <v>100</v>
      </c>
      <c r="E7" s="64">
        <f>+D7</f>
        <v>100</v>
      </c>
      <c r="F7" s="64">
        <f t="shared" ref="F7:AG7" si="2">+E7</f>
        <v>100</v>
      </c>
      <c r="G7" s="64">
        <f t="shared" si="2"/>
        <v>100</v>
      </c>
      <c r="H7" s="64">
        <f t="shared" si="2"/>
        <v>100</v>
      </c>
      <c r="I7" s="64">
        <f t="shared" si="2"/>
        <v>100</v>
      </c>
      <c r="J7" s="64">
        <f t="shared" si="2"/>
        <v>100</v>
      </c>
      <c r="K7" s="64">
        <f t="shared" si="2"/>
        <v>100</v>
      </c>
      <c r="L7" s="64">
        <f t="shared" si="2"/>
        <v>100</v>
      </c>
      <c r="M7" s="64">
        <f t="shared" si="2"/>
        <v>100</v>
      </c>
      <c r="N7" s="64">
        <f t="shared" si="2"/>
        <v>100</v>
      </c>
      <c r="O7" s="64">
        <f t="shared" si="2"/>
        <v>100</v>
      </c>
      <c r="P7" s="64">
        <f t="shared" si="2"/>
        <v>100</v>
      </c>
      <c r="Q7" s="64">
        <f t="shared" si="2"/>
        <v>100</v>
      </c>
      <c r="R7" s="64">
        <f t="shared" si="2"/>
        <v>100</v>
      </c>
      <c r="S7" s="64">
        <f t="shared" si="2"/>
        <v>100</v>
      </c>
      <c r="T7" s="64">
        <f t="shared" si="2"/>
        <v>100</v>
      </c>
      <c r="U7" s="64">
        <f t="shared" si="2"/>
        <v>100</v>
      </c>
      <c r="V7" s="64">
        <f t="shared" si="2"/>
        <v>100</v>
      </c>
      <c r="W7" s="64">
        <f t="shared" si="2"/>
        <v>100</v>
      </c>
      <c r="X7" s="64">
        <f t="shared" si="2"/>
        <v>100</v>
      </c>
      <c r="Y7" s="64">
        <f t="shared" si="2"/>
        <v>100</v>
      </c>
      <c r="Z7" s="64">
        <f t="shared" si="2"/>
        <v>100</v>
      </c>
      <c r="AA7" s="64">
        <f t="shared" si="2"/>
        <v>100</v>
      </c>
      <c r="AB7" s="64">
        <f t="shared" si="2"/>
        <v>100</v>
      </c>
      <c r="AC7" s="64">
        <f t="shared" si="2"/>
        <v>100</v>
      </c>
      <c r="AD7" s="64">
        <f t="shared" si="2"/>
        <v>100</v>
      </c>
      <c r="AE7" s="64">
        <f t="shared" si="2"/>
        <v>100</v>
      </c>
      <c r="AF7" s="64">
        <f t="shared" si="2"/>
        <v>100</v>
      </c>
      <c r="AG7" s="64">
        <f t="shared" si="2"/>
        <v>100</v>
      </c>
    </row>
    <row r="8" spans="1:33" x14ac:dyDescent="0.2">
      <c r="A8" s="184">
        <v>8</v>
      </c>
      <c r="B8" s="346"/>
      <c r="C8" s="1" t="s">
        <v>162</v>
      </c>
      <c r="D8" s="13">
        <f>ExpectedAvailability</f>
        <v>0.9</v>
      </c>
      <c r="E8" s="13">
        <f>$D$8</f>
        <v>0.9</v>
      </c>
      <c r="F8" s="13">
        <f t="shared" ref="F8:AG8" si="3">$D$8</f>
        <v>0.9</v>
      </c>
      <c r="G8" s="13">
        <f t="shared" si="3"/>
        <v>0.9</v>
      </c>
      <c r="H8" s="13">
        <f t="shared" si="3"/>
        <v>0.9</v>
      </c>
      <c r="I8" s="13">
        <f t="shared" si="3"/>
        <v>0.9</v>
      </c>
      <c r="J8" s="13">
        <f t="shared" si="3"/>
        <v>0.9</v>
      </c>
      <c r="K8" s="13">
        <f t="shared" si="3"/>
        <v>0.9</v>
      </c>
      <c r="L8" s="13">
        <f t="shared" si="3"/>
        <v>0.9</v>
      </c>
      <c r="M8" s="13">
        <f t="shared" si="3"/>
        <v>0.9</v>
      </c>
      <c r="N8" s="13">
        <f t="shared" si="3"/>
        <v>0.9</v>
      </c>
      <c r="O8" s="13">
        <f t="shared" si="3"/>
        <v>0.9</v>
      </c>
      <c r="P8" s="13">
        <f t="shared" si="3"/>
        <v>0.9</v>
      </c>
      <c r="Q8" s="13">
        <f t="shared" si="3"/>
        <v>0.9</v>
      </c>
      <c r="R8" s="13">
        <f t="shared" si="3"/>
        <v>0.9</v>
      </c>
      <c r="S8" s="13">
        <f t="shared" si="3"/>
        <v>0.9</v>
      </c>
      <c r="T8" s="13">
        <f t="shared" si="3"/>
        <v>0.9</v>
      </c>
      <c r="U8" s="13">
        <f t="shared" si="3"/>
        <v>0.9</v>
      </c>
      <c r="V8" s="13">
        <f t="shared" si="3"/>
        <v>0.9</v>
      </c>
      <c r="W8" s="13">
        <f t="shared" si="3"/>
        <v>0.9</v>
      </c>
      <c r="X8" s="13">
        <f t="shared" si="3"/>
        <v>0.9</v>
      </c>
      <c r="Y8" s="13">
        <f t="shared" si="3"/>
        <v>0.9</v>
      </c>
      <c r="Z8" s="13">
        <f t="shared" si="3"/>
        <v>0.9</v>
      </c>
      <c r="AA8" s="13">
        <f t="shared" si="3"/>
        <v>0.9</v>
      </c>
      <c r="AB8" s="13">
        <f t="shared" si="3"/>
        <v>0.9</v>
      </c>
      <c r="AC8" s="13">
        <f t="shared" si="3"/>
        <v>0.9</v>
      </c>
      <c r="AD8" s="13">
        <f t="shared" si="3"/>
        <v>0.9</v>
      </c>
      <c r="AE8" s="13">
        <f t="shared" si="3"/>
        <v>0.9</v>
      </c>
      <c r="AF8" s="13">
        <f t="shared" si="3"/>
        <v>0.9</v>
      </c>
      <c r="AG8" s="13">
        <f t="shared" si="3"/>
        <v>0.9</v>
      </c>
    </row>
    <row r="9" spans="1:33" x14ac:dyDescent="0.2">
      <c r="A9" s="184">
        <v>9</v>
      </c>
      <c r="C9" s="1" t="s">
        <v>3</v>
      </c>
      <c r="D9" s="8">
        <f>+D8*D7*24*365</f>
        <v>788400</v>
      </c>
      <c r="E9" s="8">
        <f>+E8*E7*24*365</f>
        <v>788400</v>
      </c>
      <c r="F9" s="8">
        <f t="shared" ref="F9:AG9" si="4">+F8*F7*24*365</f>
        <v>788400</v>
      </c>
      <c r="G9" s="8">
        <f t="shared" si="4"/>
        <v>788400</v>
      </c>
      <c r="H9" s="8">
        <f t="shared" si="4"/>
        <v>788400</v>
      </c>
      <c r="I9" s="8">
        <f t="shared" si="4"/>
        <v>788400</v>
      </c>
      <c r="J9" s="8">
        <f t="shared" si="4"/>
        <v>788400</v>
      </c>
      <c r="K9" s="8">
        <f t="shared" si="4"/>
        <v>788400</v>
      </c>
      <c r="L9" s="8">
        <f t="shared" si="4"/>
        <v>788400</v>
      </c>
      <c r="M9" s="8">
        <f t="shared" si="4"/>
        <v>788400</v>
      </c>
      <c r="N9" s="8">
        <f t="shared" si="4"/>
        <v>788400</v>
      </c>
      <c r="O9" s="8">
        <f t="shared" si="4"/>
        <v>788400</v>
      </c>
      <c r="P9" s="8">
        <f t="shared" si="4"/>
        <v>788400</v>
      </c>
      <c r="Q9" s="8">
        <f t="shared" si="4"/>
        <v>788400</v>
      </c>
      <c r="R9" s="8">
        <f t="shared" si="4"/>
        <v>788400</v>
      </c>
      <c r="S9" s="8">
        <f t="shared" si="4"/>
        <v>788400</v>
      </c>
      <c r="T9" s="8">
        <f t="shared" si="4"/>
        <v>788400</v>
      </c>
      <c r="U9" s="8">
        <f t="shared" si="4"/>
        <v>788400</v>
      </c>
      <c r="V9" s="8">
        <f t="shared" si="4"/>
        <v>788400</v>
      </c>
      <c r="W9" s="8">
        <f t="shared" si="4"/>
        <v>788400</v>
      </c>
      <c r="X9" s="8">
        <f t="shared" si="4"/>
        <v>788400</v>
      </c>
      <c r="Y9" s="8">
        <f t="shared" si="4"/>
        <v>788400</v>
      </c>
      <c r="Z9" s="8">
        <f t="shared" si="4"/>
        <v>788400</v>
      </c>
      <c r="AA9" s="8">
        <f t="shared" si="4"/>
        <v>788400</v>
      </c>
      <c r="AB9" s="8">
        <f t="shared" si="4"/>
        <v>788400</v>
      </c>
      <c r="AC9" s="8">
        <f t="shared" si="4"/>
        <v>788400</v>
      </c>
      <c r="AD9" s="8">
        <f t="shared" si="4"/>
        <v>788400</v>
      </c>
      <c r="AE9" s="8">
        <f t="shared" si="4"/>
        <v>788400</v>
      </c>
      <c r="AF9" s="8">
        <f t="shared" si="4"/>
        <v>788400</v>
      </c>
      <c r="AG9" s="8">
        <f t="shared" si="4"/>
        <v>788400</v>
      </c>
    </row>
    <row r="10" spans="1:33" x14ac:dyDescent="0.2">
      <c r="A10" s="184">
        <v>10</v>
      </c>
      <c r="B10" s="14"/>
      <c r="C10" s="1" t="s">
        <v>49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">
      <c r="A11" s="184">
        <v>11</v>
      </c>
      <c r="C11" s="1" t="s">
        <v>11</v>
      </c>
      <c r="D11" s="8">
        <f>+D10+D9</f>
        <v>788400</v>
      </c>
      <c r="E11" s="8">
        <f t="shared" ref="E11:AG11" si="5">+E10+E9</f>
        <v>788400</v>
      </c>
      <c r="F11" s="8">
        <f t="shared" si="5"/>
        <v>788400</v>
      </c>
      <c r="G11" s="8">
        <f t="shared" si="5"/>
        <v>788400</v>
      </c>
      <c r="H11" s="8">
        <f t="shared" si="5"/>
        <v>788400</v>
      </c>
      <c r="I11" s="8">
        <f t="shared" si="5"/>
        <v>788400</v>
      </c>
      <c r="J11" s="8">
        <f t="shared" si="5"/>
        <v>788400</v>
      </c>
      <c r="K11" s="8">
        <f t="shared" si="5"/>
        <v>788400</v>
      </c>
      <c r="L11" s="8">
        <f t="shared" si="5"/>
        <v>788400</v>
      </c>
      <c r="M11" s="8">
        <f t="shared" si="5"/>
        <v>788400</v>
      </c>
      <c r="N11" s="8">
        <f t="shared" si="5"/>
        <v>788400</v>
      </c>
      <c r="O11" s="8">
        <f t="shared" si="5"/>
        <v>788400</v>
      </c>
      <c r="P11" s="8">
        <f t="shared" si="5"/>
        <v>788400</v>
      </c>
      <c r="Q11" s="8">
        <f t="shared" si="5"/>
        <v>788400</v>
      </c>
      <c r="R11" s="8">
        <f t="shared" si="5"/>
        <v>788400</v>
      </c>
      <c r="S11" s="8">
        <f t="shared" si="5"/>
        <v>788400</v>
      </c>
      <c r="T11" s="8">
        <f t="shared" si="5"/>
        <v>788400</v>
      </c>
      <c r="U11" s="8">
        <f t="shared" si="5"/>
        <v>788400</v>
      </c>
      <c r="V11" s="8">
        <f t="shared" si="5"/>
        <v>788400</v>
      </c>
      <c r="W11" s="8">
        <f t="shared" si="5"/>
        <v>788400</v>
      </c>
      <c r="X11" s="8">
        <f t="shared" si="5"/>
        <v>788400</v>
      </c>
      <c r="Y11" s="8">
        <f t="shared" si="5"/>
        <v>788400</v>
      </c>
      <c r="Z11" s="8">
        <f t="shared" si="5"/>
        <v>788400</v>
      </c>
      <c r="AA11" s="8">
        <f t="shared" si="5"/>
        <v>788400</v>
      </c>
      <c r="AB11" s="8">
        <f t="shared" si="5"/>
        <v>788400</v>
      </c>
      <c r="AC11" s="8">
        <f t="shared" si="5"/>
        <v>788400</v>
      </c>
      <c r="AD11" s="8">
        <f t="shared" si="5"/>
        <v>788400</v>
      </c>
      <c r="AE11" s="8">
        <f t="shared" si="5"/>
        <v>788400</v>
      </c>
      <c r="AF11" s="8">
        <f t="shared" si="5"/>
        <v>788400</v>
      </c>
      <c r="AG11" s="8">
        <f t="shared" si="5"/>
        <v>788400</v>
      </c>
    </row>
    <row r="12" spans="1:33" ht="8.1" customHeight="1" x14ac:dyDescent="0.2">
      <c r="A12" s="184"/>
    </row>
    <row r="13" spans="1:33" x14ac:dyDescent="0.2">
      <c r="A13" s="184"/>
      <c r="B13" s="14"/>
      <c r="C13" s="18" t="s">
        <v>165</v>
      </c>
      <c r="D13" s="21"/>
      <c r="E13" s="21"/>
      <c r="F13" s="19"/>
      <c r="G13" s="19"/>
      <c r="H13" s="19"/>
      <c r="I13" s="19"/>
      <c r="J13" s="18" t="str">
        <f>C13</f>
        <v xml:space="preserve">EXPECTED OUTPUT PRICING </v>
      </c>
      <c r="K13" s="19"/>
      <c r="L13" s="19"/>
      <c r="M13" s="19"/>
      <c r="N13" s="19"/>
      <c r="O13" s="19"/>
      <c r="P13" s="19"/>
      <c r="Q13" s="19"/>
      <c r="R13" s="18" t="str">
        <f>C13</f>
        <v xml:space="preserve">EXPECTED OUTPUT PRICING </v>
      </c>
      <c r="S13" s="19"/>
      <c r="T13" s="19"/>
      <c r="U13" s="19"/>
      <c r="V13" s="19"/>
      <c r="W13" s="19"/>
      <c r="X13" s="19"/>
      <c r="Y13" s="19"/>
      <c r="Z13" s="18" t="str">
        <f>C13</f>
        <v xml:space="preserve">EXPECTED OUTPUT PRICING </v>
      </c>
      <c r="AA13" s="19"/>
      <c r="AB13" s="19"/>
      <c r="AC13" s="19"/>
      <c r="AD13" s="19"/>
      <c r="AE13" s="19"/>
      <c r="AF13" s="19"/>
      <c r="AG13" s="19"/>
    </row>
    <row r="14" spans="1:33" x14ac:dyDescent="0.2">
      <c r="A14" s="184">
        <v>14</v>
      </c>
      <c r="B14" s="14">
        <f>'Inputs '!K3</f>
        <v>0</v>
      </c>
      <c r="C14" s="1" t="s">
        <v>39</v>
      </c>
      <c r="D14" s="16">
        <f>'Inputs '!J3</f>
        <v>56.15</v>
      </c>
      <c r="E14" s="16">
        <f t="shared" ref="E14:AG14" si="6">+D14*(1+$B14)</f>
        <v>56.15</v>
      </c>
      <c r="F14" s="16">
        <f t="shared" si="6"/>
        <v>56.15</v>
      </c>
      <c r="G14" s="16">
        <f t="shared" si="6"/>
        <v>56.15</v>
      </c>
      <c r="H14" s="16">
        <f t="shared" si="6"/>
        <v>56.15</v>
      </c>
      <c r="I14" s="16">
        <f t="shared" si="6"/>
        <v>56.15</v>
      </c>
      <c r="J14" s="16">
        <f t="shared" si="6"/>
        <v>56.15</v>
      </c>
      <c r="K14" s="16">
        <f t="shared" si="6"/>
        <v>56.15</v>
      </c>
      <c r="L14" s="16">
        <f t="shared" si="6"/>
        <v>56.15</v>
      </c>
      <c r="M14" s="16">
        <f t="shared" si="6"/>
        <v>56.15</v>
      </c>
      <c r="N14" s="16">
        <f t="shared" si="6"/>
        <v>56.15</v>
      </c>
      <c r="O14" s="16">
        <f t="shared" si="6"/>
        <v>56.15</v>
      </c>
      <c r="P14" s="16">
        <f t="shared" si="6"/>
        <v>56.15</v>
      </c>
      <c r="Q14" s="16">
        <f t="shared" si="6"/>
        <v>56.15</v>
      </c>
      <c r="R14" s="16">
        <f t="shared" si="6"/>
        <v>56.15</v>
      </c>
      <c r="S14" s="16">
        <f t="shared" si="6"/>
        <v>56.15</v>
      </c>
      <c r="T14" s="16">
        <f t="shared" si="6"/>
        <v>56.15</v>
      </c>
      <c r="U14" s="16">
        <f t="shared" si="6"/>
        <v>56.15</v>
      </c>
      <c r="V14" s="16">
        <f t="shared" si="6"/>
        <v>56.15</v>
      </c>
      <c r="W14" s="16">
        <f t="shared" si="6"/>
        <v>56.15</v>
      </c>
      <c r="X14" s="16">
        <f t="shared" si="6"/>
        <v>56.15</v>
      </c>
      <c r="Y14" s="16">
        <f t="shared" si="6"/>
        <v>56.15</v>
      </c>
      <c r="Z14" s="16">
        <f t="shared" si="6"/>
        <v>56.15</v>
      </c>
      <c r="AA14" s="16">
        <f t="shared" si="6"/>
        <v>56.15</v>
      </c>
      <c r="AB14" s="16">
        <f t="shared" si="6"/>
        <v>56.15</v>
      </c>
      <c r="AC14" s="16">
        <f t="shared" si="6"/>
        <v>56.15</v>
      </c>
      <c r="AD14" s="16">
        <f t="shared" si="6"/>
        <v>56.15</v>
      </c>
      <c r="AE14" s="16">
        <f t="shared" si="6"/>
        <v>56.15</v>
      </c>
      <c r="AF14" s="16">
        <f t="shared" si="6"/>
        <v>56.15</v>
      </c>
      <c r="AG14" s="16">
        <f t="shared" si="6"/>
        <v>56.15</v>
      </c>
    </row>
    <row r="15" spans="1:33" x14ac:dyDescent="0.2">
      <c r="A15" s="184">
        <v>15</v>
      </c>
      <c r="B15" s="14">
        <f>'Inputs '!K4</f>
        <v>0</v>
      </c>
      <c r="C15" s="22" t="s">
        <v>40</v>
      </c>
      <c r="D15" s="26">
        <f>'Inputs '!J4</f>
        <v>23.74</v>
      </c>
      <c r="E15" s="26">
        <v>23.74</v>
      </c>
      <c r="F15" s="26">
        <v>23.74</v>
      </c>
      <c r="G15" s="26">
        <v>23.74</v>
      </c>
      <c r="H15" s="26">
        <v>23.74</v>
      </c>
      <c r="I15" s="26">
        <v>23.74</v>
      </c>
      <c r="J15" s="26">
        <v>23.74</v>
      </c>
      <c r="K15" s="26">
        <v>23.74</v>
      </c>
      <c r="L15" s="26">
        <v>23.74</v>
      </c>
      <c r="M15" s="26">
        <v>23.74</v>
      </c>
      <c r="N15" s="26">
        <v>23.74</v>
      </c>
      <c r="O15" s="26">
        <v>23.74</v>
      </c>
      <c r="P15" s="26">
        <v>23.74</v>
      </c>
      <c r="Q15" s="26">
        <v>23.74</v>
      </c>
      <c r="R15" s="26">
        <v>23.74</v>
      </c>
      <c r="S15" s="26">
        <v>23.74</v>
      </c>
      <c r="T15" s="26">
        <v>23.74</v>
      </c>
      <c r="U15" s="26">
        <v>23.74</v>
      </c>
      <c r="V15" s="26">
        <v>23.74</v>
      </c>
      <c r="W15" s="26">
        <v>23.74</v>
      </c>
      <c r="X15" s="26">
        <v>23.74</v>
      </c>
      <c r="Y15" s="26">
        <v>23.74</v>
      </c>
      <c r="Z15" s="26">
        <v>23.74</v>
      </c>
      <c r="AA15" s="26">
        <v>23.74</v>
      </c>
      <c r="AB15" s="26">
        <v>23.74</v>
      </c>
      <c r="AC15" s="26">
        <v>23.74</v>
      </c>
      <c r="AD15" s="26">
        <v>23.74</v>
      </c>
      <c r="AE15" s="26">
        <v>23.74</v>
      </c>
      <c r="AF15" s="26">
        <v>23.74</v>
      </c>
      <c r="AG15" s="26">
        <v>23.74</v>
      </c>
    </row>
    <row r="16" spans="1:33" x14ac:dyDescent="0.2">
      <c r="A16" s="184">
        <v>16</v>
      </c>
      <c r="B16" s="14" t="s">
        <v>50</v>
      </c>
      <c r="C16" s="1" t="s">
        <v>43</v>
      </c>
      <c r="D16" s="16">
        <f t="shared" ref="D16:AG16" si="7">D57</f>
        <v>12.683916793505835</v>
      </c>
      <c r="E16" s="16">
        <f t="shared" si="7"/>
        <v>12.358688157774916</v>
      </c>
      <c r="F16" s="16">
        <f t="shared" si="7"/>
        <v>12.128588897995291</v>
      </c>
      <c r="G16" s="16">
        <f t="shared" si="7"/>
        <v>11.898904304726225</v>
      </c>
      <c r="H16" s="16">
        <f t="shared" si="7"/>
        <v>11.669646817963029</v>
      </c>
      <c r="I16" s="16">
        <f t="shared" si="7"/>
        <v>11.440829250900885</v>
      </c>
      <c r="J16" s="16">
        <f t="shared" si="7"/>
        <v>11.212464801130823</v>
      </c>
      <c r="K16" s="16">
        <f t="shared" si="7"/>
        <v>10.984567062171601</v>
      </c>
      <c r="L16" s="16">
        <f t="shared" si="7"/>
        <v>10.75715003534755</v>
      </c>
      <c r="M16" s="16">
        <f t="shared" si="7"/>
        <v>10.530228142022725</v>
      </c>
      <c r="N16" s="16">
        <f t="shared" si="7"/>
        <v>10.303816236202099</v>
      </c>
      <c r="O16" s="16">
        <f t="shared" si="7"/>
        <v>10.077929617510801</v>
      </c>
      <c r="P16" s="16">
        <f t="shared" si="7"/>
        <v>9.8525840445627129</v>
      </c>
      <c r="Q16" s="16">
        <f t="shared" si="7"/>
        <v>9.6277957487301205</v>
      </c>
      <c r="R16" s="16">
        <f t="shared" si="7"/>
        <v>9.4035814483265021</v>
      </c>
      <c r="S16" s="16">
        <f t="shared" si="7"/>
        <v>9.1799583632147161</v>
      </c>
      <c r="T16" s="16">
        <f t="shared" si="7"/>
        <v>8.9569442298535247</v>
      </c>
      <c r="U16" s="16">
        <f t="shared" si="7"/>
        <v>8.7345573167954438</v>
      </c>
      <c r="V16" s="16">
        <f t="shared" si="7"/>
        <v>8.5128164406495657</v>
      </c>
      <c r="W16" s="16">
        <f t="shared" si="7"/>
        <v>8.2917409825232546</v>
      </c>
      <c r="X16" s="16">
        <f t="shared" si="7"/>
        <v>8.0713509049571037</v>
      </c>
      <c r="Y16" s="16">
        <f t="shared" si="7"/>
        <v>7.8516667693679114</v>
      </c>
      <c r="Z16" s="16">
        <f t="shared" si="7"/>
        <v>7.6327097540149902</v>
      </c>
      <c r="AA16" s="16">
        <f t="shared" si="7"/>
        <v>7.4145016725054251</v>
      </c>
      <c r="AB16" s="16">
        <f t="shared" si="7"/>
        <v>7.1970649928545214</v>
      </c>
      <c r="AC16" s="16">
        <f t="shared" si="7"/>
        <v>6.9804228571180351</v>
      </c>
      <c r="AD16" s="16">
        <f t="shared" si="7"/>
        <v>6.7645991016133999</v>
      </c>
      <c r="AE16" s="16">
        <f t="shared" si="7"/>
        <v>6.5496182777475704</v>
      </c>
      <c r="AF16" s="16">
        <f t="shared" si="7"/>
        <v>6.3355056734697142</v>
      </c>
      <c r="AG16" s="16">
        <f t="shared" si="7"/>
        <v>6.1222873353674645</v>
      </c>
    </row>
    <row r="17" spans="1:34" x14ac:dyDescent="0.2">
      <c r="A17" s="184">
        <v>17</v>
      </c>
      <c r="B17" s="14">
        <f>'Inputs '!K6</f>
        <v>2.5000000000000001E-2</v>
      </c>
      <c r="C17" s="1" t="s">
        <v>41</v>
      </c>
      <c r="D17" s="16">
        <f>'Inputs '!J6</f>
        <v>3.56</v>
      </c>
      <c r="E17" s="3">
        <f t="shared" ref="E17:T18" si="8">+D17*(1+$B17)</f>
        <v>3.6489999999999996</v>
      </c>
      <c r="F17" s="3">
        <f t="shared" si="8"/>
        <v>3.7402249999999992</v>
      </c>
      <c r="G17" s="3">
        <f t="shared" si="8"/>
        <v>3.8337306249999989</v>
      </c>
      <c r="H17" s="3">
        <f t="shared" si="8"/>
        <v>3.9295738906249986</v>
      </c>
      <c r="I17" s="3">
        <f t="shared" si="8"/>
        <v>4.0278132378906228</v>
      </c>
      <c r="J17" s="3">
        <f t="shared" si="8"/>
        <v>4.128508568837888</v>
      </c>
      <c r="K17" s="3">
        <f t="shared" si="8"/>
        <v>4.2317212830588344</v>
      </c>
      <c r="L17" s="3">
        <f t="shared" si="8"/>
        <v>4.3375143151353051</v>
      </c>
      <c r="M17" s="3">
        <f t="shared" si="8"/>
        <v>4.4459521730136871</v>
      </c>
      <c r="N17" s="3">
        <f t="shared" si="8"/>
        <v>4.5571009773390285</v>
      </c>
      <c r="O17" s="3">
        <f t="shared" si="8"/>
        <v>4.6710285017725042</v>
      </c>
      <c r="P17" s="3">
        <f t="shared" si="8"/>
        <v>4.7878042143168162</v>
      </c>
      <c r="Q17" s="3">
        <f t="shared" si="8"/>
        <v>4.9074993196747361</v>
      </c>
      <c r="R17" s="3">
        <f t="shared" si="8"/>
        <v>5.0301868026666039</v>
      </c>
      <c r="S17" s="3">
        <f t="shared" si="8"/>
        <v>5.1559414727332689</v>
      </c>
      <c r="T17" s="3">
        <f t="shared" si="8"/>
        <v>5.2848400095516004</v>
      </c>
      <c r="U17" s="3">
        <f t="shared" ref="U17:AG18" si="9">+T17*(1+$B17)</f>
        <v>5.4169610097903895</v>
      </c>
      <c r="V17" s="3">
        <f t="shared" si="9"/>
        <v>5.5523850350351491</v>
      </c>
      <c r="W17" s="3">
        <f t="shared" si="9"/>
        <v>5.6911946609110275</v>
      </c>
      <c r="X17" s="3">
        <f t="shared" si="9"/>
        <v>5.8334745274338031</v>
      </c>
      <c r="Y17" s="3">
        <f t="shared" si="9"/>
        <v>5.9793113906196478</v>
      </c>
      <c r="Z17" s="3">
        <f t="shared" si="9"/>
        <v>6.1287941753851385</v>
      </c>
      <c r="AA17" s="3">
        <f t="shared" si="9"/>
        <v>6.2820140297697664</v>
      </c>
      <c r="AB17" s="3">
        <f t="shared" si="9"/>
        <v>6.4390643805140098</v>
      </c>
      <c r="AC17" s="3">
        <f t="shared" si="9"/>
        <v>6.6000409900268595</v>
      </c>
      <c r="AD17" s="3">
        <f t="shared" si="9"/>
        <v>6.7650420147775305</v>
      </c>
      <c r="AE17" s="3">
        <f t="shared" si="9"/>
        <v>6.9341680651469684</v>
      </c>
      <c r="AF17" s="3">
        <f t="shared" si="9"/>
        <v>7.1075222667756419</v>
      </c>
      <c r="AG17" s="3">
        <f t="shared" si="9"/>
        <v>7.2852103234450327</v>
      </c>
    </row>
    <row r="18" spans="1:34" x14ac:dyDescent="0.2">
      <c r="A18" s="184">
        <v>18</v>
      </c>
      <c r="B18" s="14">
        <f>'Inputs '!K7</f>
        <v>2.5000000000000001E-2</v>
      </c>
      <c r="C18" s="1" t="s">
        <v>42</v>
      </c>
      <c r="D18" s="16">
        <f>'Inputs '!J7</f>
        <v>37.799999999999997</v>
      </c>
      <c r="E18" s="3">
        <f t="shared" si="8"/>
        <v>38.74499999999999</v>
      </c>
      <c r="F18" s="3">
        <f t="shared" si="8"/>
        <v>39.713624999999986</v>
      </c>
      <c r="G18" s="3">
        <f t="shared" si="8"/>
        <v>40.706465624999986</v>
      </c>
      <c r="H18" s="3">
        <f t="shared" si="8"/>
        <v>41.724127265624979</v>
      </c>
      <c r="I18" s="3">
        <f t="shared" si="8"/>
        <v>42.767230447265597</v>
      </c>
      <c r="J18" s="3">
        <f t="shared" si="8"/>
        <v>43.836411208447231</v>
      </c>
      <c r="K18" s="3">
        <f t="shared" si="8"/>
        <v>44.93232148865841</v>
      </c>
      <c r="L18" s="3">
        <f t="shared" si="8"/>
        <v>46.055629525874863</v>
      </c>
      <c r="M18" s="3">
        <f t="shared" si="8"/>
        <v>47.207020264021729</v>
      </c>
      <c r="N18" s="3">
        <f t="shared" si="8"/>
        <v>48.38719577062227</v>
      </c>
      <c r="O18" s="3">
        <f t="shared" si="8"/>
        <v>49.596875664887826</v>
      </c>
      <c r="P18" s="3">
        <f t="shared" si="8"/>
        <v>50.836797556510014</v>
      </c>
      <c r="Q18" s="3">
        <f t="shared" si="8"/>
        <v>52.107717495422762</v>
      </c>
      <c r="R18" s="3">
        <f t="shared" si="8"/>
        <v>53.410410432808327</v>
      </c>
      <c r="S18" s="3">
        <f t="shared" si="8"/>
        <v>54.745670693628533</v>
      </c>
      <c r="T18" s="3">
        <f t="shared" si="8"/>
        <v>56.114312460969238</v>
      </c>
      <c r="U18" s="3">
        <f t="shared" si="9"/>
        <v>57.517170272493466</v>
      </c>
      <c r="V18" s="3">
        <f t="shared" si="9"/>
        <v>58.955099529305798</v>
      </c>
      <c r="W18" s="3">
        <f t="shared" si="9"/>
        <v>60.428977017538436</v>
      </c>
      <c r="X18" s="3">
        <f t="shared" si="9"/>
        <v>61.93970144297689</v>
      </c>
      <c r="Y18" s="3">
        <f t="shared" si="9"/>
        <v>63.48819397905131</v>
      </c>
      <c r="Z18" s="3">
        <f t="shared" si="9"/>
        <v>65.075398828527582</v>
      </c>
      <c r="AA18" s="3">
        <f t="shared" si="9"/>
        <v>66.70228379924076</v>
      </c>
      <c r="AB18" s="3">
        <f t="shared" si="9"/>
        <v>68.369840894221767</v>
      </c>
      <c r="AC18" s="3">
        <f t="shared" si="9"/>
        <v>70.07908691657731</v>
      </c>
      <c r="AD18" s="3">
        <f t="shared" si="9"/>
        <v>71.831064089491733</v>
      </c>
      <c r="AE18" s="3">
        <f t="shared" si="9"/>
        <v>73.626840691729015</v>
      </c>
      <c r="AF18" s="3">
        <f t="shared" si="9"/>
        <v>75.467511709022233</v>
      </c>
      <c r="AG18" s="3">
        <f t="shared" si="9"/>
        <v>77.354199501747786</v>
      </c>
    </row>
    <row r="19" spans="1:34" s="22" customFormat="1" x14ac:dyDescent="0.2">
      <c r="A19" s="255"/>
      <c r="B19" s="256">
        <v>4.4999999999999998E-2</v>
      </c>
      <c r="C19" s="231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</row>
    <row r="20" spans="1:34" x14ac:dyDescent="0.2">
      <c r="A20" s="184"/>
      <c r="B20" s="6"/>
      <c r="C20" s="18" t="s">
        <v>160</v>
      </c>
      <c r="D20" s="20"/>
      <c r="E20" s="20"/>
      <c r="F20" s="20"/>
      <c r="G20" s="20"/>
      <c r="H20" s="20"/>
      <c r="I20" s="20"/>
      <c r="J20" s="18" t="str">
        <f>C20</f>
        <v>EXPECTED COST INFORMATION</v>
      </c>
      <c r="K20" s="19"/>
      <c r="L20" s="19"/>
      <c r="M20" s="19"/>
      <c r="N20" s="19"/>
      <c r="O20" s="19"/>
      <c r="P20" s="19"/>
      <c r="Q20" s="19"/>
      <c r="R20" s="18" t="str">
        <f>C20</f>
        <v>EXPECTED COST INFORMATION</v>
      </c>
      <c r="S20" s="19"/>
      <c r="T20" s="19"/>
      <c r="U20" s="19"/>
      <c r="V20" s="19"/>
      <c r="W20" s="19"/>
      <c r="X20" s="19"/>
      <c r="Y20" s="19"/>
      <c r="Z20" s="18" t="str">
        <f>C20</f>
        <v>EXPECTED COST INFORMATION</v>
      </c>
      <c r="AA20" s="19"/>
      <c r="AB20" s="19"/>
      <c r="AC20" s="19"/>
      <c r="AD20" s="19"/>
      <c r="AE20" s="19"/>
      <c r="AF20" s="19"/>
      <c r="AG20" s="19"/>
    </row>
    <row r="21" spans="1:34" x14ac:dyDescent="0.2">
      <c r="A21" s="184">
        <v>21</v>
      </c>
      <c r="B21" s="345" t="s">
        <v>194</v>
      </c>
      <c r="C21" s="1" t="s">
        <v>168</v>
      </c>
      <c r="D21" s="3">
        <f>SUM(D14:D18)</f>
        <v>133.93391679350583</v>
      </c>
      <c r="E21" s="3">
        <f t="shared" ref="E21:AG21" si="10">SUM(E14:E18)</f>
        <v>134.6426881577749</v>
      </c>
      <c r="F21" s="3">
        <f t="shared" si="10"/>
        <v>135.47243889799526</v>
      </c>
      <c r="G21" s="3">
        <f t="shared" si="10"/>
        <v>136.32910055472621</v>
      </c>
      <c r="H21" s="3">
        <f t="shared" si="10"/>
        <v>137.21334797421301</v>
      </c>
      <c r="I21" s="3">
        <f t="shared" si="10"/>
        <v>138.12587293605711</v>
      </c>
      <c r="J21" s="3">
        <f t="shared" si="10"/>
        <v>139.06738457841595</v>
      </c>
      <c r="K21" s="3">
        <f t="shared" si="10"/>
        <v>140.03860983388884</v>
      </c>
      <c r="L21" s="3">
        <f t="shared" si="10"/>
        <v>141.04029387635774</v>
      </c>
      <c r="M21" s="3">
        <f t="shared" si="10"/>
        <v>142.07320057905815</v>
      </c>
      <c r="N21" s="3">
        <f t="shared" si="10"/>
        <v>143.1381129841634</v>
      </c>
      <c r="O21" s="3">
        <f t="shared" si="10"/>
        <v>144.23583378417112</v>
      </c>
      <c r="P21" s="3">
        <f t="shared" si="10"/>
        <v>145.36718581538955</v>
      </c>
      <c r="Q21" s="3">
        <f t="shared" si="10"/>
        <v>146.53301256382764</v>
      </c>
      <c r="R21" s="3">
        <f t="shared" si="10"/>
        <v>147.73417868380145</v>
      </c>
      <c r="S21" s="3">
        <f t="shared" si="10"/>
        <v>148.97157052957652</v>
      </c>
      <c r="T21" s="3">
        <f t="shared" si="10"/>
        <v>150.24609670037435</v>
      </c>
      <c r="U21" s="3">
        <f t="shared" si="10"/>
        <v>151.55868859907929</v>
      </c>
      <c r="V21" s="3">
        <f t="shared" si="10"/>
        <v>152.91030100499052</v>
      </c>
      <c r="W21" s="3">
        <f t="shared" si="10"/>
        <v>154.3019126609727</v>
      </c>
      <c r="X21" s="3">
        <f t="shared" si="10"/>
        <v>155.73452687536781</v>
      </c>
      <c r="Y21" s="3">
        <f t="shared" si="10"/>
        <v>157.20917213903886</v>
      </c>
      <c r="Z21" s="3">
        <f t="shared" si="10"/>
        <v>158.72690275792772</v>
      </c>
      <c r="AA21" s="3">
        <f t="shared" si="10"/>
        <v>160.28879950151594</v>
      </c>
      <c r="AB21" s="3">
        <f t="shared" si="10"/>
        <v>161.89597026759031</v>
      </c>
      <c r="AC21" s="3">
        <f t="shared" si="10"/>
        <v>163.54955076372221</v>
      </c>
      <c r="AD21" s="3">
        <f t="shared" si="10"/>
        <v>165.25070520588267</v>
      </c>
      <c r="AE21" s="3">
        <f t="shared" si="10"/>
        <v>167.00062703462356</v>
      </c>
      <c r="AF21" s="3">
        <f t="shared" si="10"/>
        <v>168.80053964926759</v>
      </c>
      <c r="AG21" s="3">
        <f t="shared" si="10"/>
        <v>170.65169716056027</v>
      </c>
    </row>
    <row r="22" spans="1:34" x14ac:dyDescent="0.2">
      <c r="A22" s="184">
        <v>22</v>
      </c>
      <c r="B22" s="345"/>
      <c r="C22" s="5" t="s">
        <v>169</v>
      </c>
      <c r="D22" s="79">
        <f>+D21*D11</f>
        <v>105593500</v>
      </c>
      <c r="E22" s="79">
        <f t="shared" ref="E22:AG22" si="11">+E21*E11</f>
        <v>106152295.34358972</v>
      </c>
      <c r="F22" s="79">
        <f t="shared" si="11"/>
        <v>106806470.82717946</v>
      </c>
      <c r="G22" s="79">
        <f t="shared" si="11"/>
        <v>107481862.87734614</v>
      </c>
      <c r="H22" s="79">
        <f t="shared" si="11"/>
        <v>108179003.54286954</v>
      </c>
      <c r="I22" s="79">
        <f t="shared" si="11"/>
        <v>108898438.22278742</v>
      </c>
      <c r="J22" s="79">
        <f t="shared" si="11"/>
        <v>109640726.00162314</v>
      </c>
      <c r="K22" s="79">
        <f t="shared" si="11"/>
        <v>110406439.99303797</v>
      </c>
      <c r="L22" s="79">
        <f t="shared" si="11"/>
        <v>111196167.69212043</v>
      </c>
      <c r="M22" s="79">
        <f t="shared" si="11"/>
        <v>112010511.33652945</v>
      </c>
      <c r="N22" s="79">
        <f t="shared" si="11"/>
        <v>112850088.27671443</v>
      </c>
      <c r="O22" s="79">
        <f t="shared" si="11"/>
        <v>113715531.35544051</v>
      </c>
      <c r="P22" s="79">
        <f t="shared" si="11"/>
        <v>114607489.29685313</v>
      </c>
      <c r="Q22" s="79">
        <f t="shared" si="11"/>
        <v>115526627.10532171</v>
      </c>
      <c r="R22" s="79">
        <f t="shared" si="11"/>
        <v>116473626.47430906</v>
      </c>
      <c r="S22" s="79">
        <f t="shared" si="11"/>
        <v>117449186.20551813</v>
      </c>
      <c r="T22" s="79">
        <f t="shared" si="11"/>
        <v>118454022.63857514</v>
      </c>
      <c r="U22" s="79">
        <f t="shared" si="11"/>
        <v>119488870.09151411</v>
      </c>
      <c r="V22" s="79">
        <f t="shared" si="11"/>
        <v>120554481.31233452</v>
      </c>
      <c r="W22" s="79">
        <f t="shared" si="11"/>
        <v>121651627.94191088</v>
      </c>
      <c r="X22" s="79">
        <f t="shared" si="11"/>
        <v>122781100.98853998</v>
      </c>
      <c r="Y22" s="79">
        <f t="shared" si="11"/>
        <v>123943711.31441823</v>
      </c>
      <c r="Z22" s="79">
        <f t="shared" si="11"/>
        <v>125140290.13435021</v>
      </c>
      <c r="AA22" s="79">
        <f t="shared" si="11"/>
        <v>126371689.52699517</v>
      </c>
      <c r="AB22" s="79">
        <f t="shared" si="11"/>
        <v>127638782.95896821</v>
      </c>
      <c r="AC22" s="79">
        <f t="shared" si="11"/>
        <v>128942465.8221186</v>
      </c>
      <c r="AD22" s="79">
        <f t="shared" si="11"/>
        <v>130283655.9843179</v>
      </c>
      <c r="AE22" s="79">
        <f t="shared" si="11"/>
        <v>131663294.35409722</v>
      </c>
      <c r="AF22" s="79">
        <f t="shared" si="11"/>
        <v>133082345.45948257</v>
      </c>
      <c r="AG22" s="79">
        <f t="shared" si="11"/>
        <v>134541798.04138571</v>
      </c>
      <c r="AH22" s="7"/>
    </row>
    <row r="23" spans="1:34" ht="6" customHeight="1" x14ac:dyDescent="0.2">
      <c r="A23" s="18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12.75" customHeight="1" x14ac:dyDescent="0.2">
      <c r="A24" s="184"/>
      <c r="D24" s="3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4" x14ac:dyDescent="0.2">
      <c r="A25" s="184"/>
      <c r="C25" s="181" t="s">
        <v>161</v>
      </c>
      <c r="D25" s="182"/>
      <c r="E25" s="182"/>
      <c r="F25" s="182"/>
      <c r="G25" s="182"/>
      <c r="H25" s="182"/>
      <c r="I25" s="182"/>
      <c r="J25" s="181" t="str">
        <f>C25</f>
        <v>SCENARIO ASSET PERFORMANCE</v>
      </c>
      <c r="K25" s="182"/>
      <c r="L25" s="182"/>
      <c r="M25" s="182"/>
      <c r="N25" s="182"/>
      <c r="O25" s="182"/>
      <c r="P25" s="182"/>
      <c r="Q25" s="182"/>
      <c r="R25" s="181" t="str">
        <f>C25</f>
        <v>SCENARIO ASSET PERFORMANCE</v>
      </c>
      <c r="S25" s="182"/>
      <c r="T25" s="182"/>
      <c r="U25" s="182"/>
      <c r="V25" s="182"/>
      <c r="W25" s="182"/>
      <c r="X25" s="182"/>
      <c r="Y25" s="182"/>
      <c r="Z25" s="181" t="str">
        <f>C25</f>
        <v>SCENARIO ASSET PERFORMANCE</v>
      </c>
      <c r="AA25" s="182"/>
      <c r="AB25" s="182"/>
      <c r="AC25" s="182"/>
      <c r="AD25" s="182"/>
      <c r="AE25" s="182"/>
      <c r="AF25" s="182"/>
      <c r="AG25" s="182"/>
    </row>
    <row r="26" spans="1:34" x14ac:dyDescent="0.2">
      <c r="A26" s="184">
        <v>26</v>
      </c>
      <c r="B26" s="49"/>
      <c r="C26" s="1" t="s">
        <v>1</v>
      </c>
      <c r="D26" s="12">
        <f>ScenarioCapacity</f>
        <v>100</v>
      </c>
      <c r="E26" s="67">
        <f>$D$26</f>
        <v>100</v>
      </c>
      <c r="F26" s="67">
        <f t="shared" ref="F26:AG26" si="12">$D$26</f>
        <v>100</v>
      </c>
      <c r="G26" s="67">
        <f t="shared" si="12"/>
        <v>100</v>
      </c>
      <c r="H26" s="67">
        <f t="shared" si="12"/>
        <v>100</v>
      </c>
      <c r="I26" s="67">
        <f t="shared" si="12"/>
        <v>100</v>
      </c>
      <c r="J26" s="67">
        <f t="shared" si="12"/>
        <v>100</v>
      </c>
      <c r="K26" s="67">
        <f t="shared" si="12"/>
        <v>100</v>
      </c>
      <c r="L26" s="67">
        <f t="shared" si="12"/>
        <v>100</v>
      </c>
      <c r="M26" s="67">
        <f t="shared" si="12"/>
        <v>100</v>
      </c>
      <c r="N26" s="67">
        <f t="shared" si="12"/>
        <v>100</v>
      </c>
      <c r="O26" s="67">
        <f t="shared" si="12"/>
        <v>100</v>
      </c>
      <c r="P26" s="67">
        <f t="shared" si="12"/>
        <v>100</v>
      </c>
      <c r="Q26" s="67">
        <f t="shared" si="12"/>
        <v>100</v>
      </c>
      <c r="R26" s="67">
        <f t="shared" si="12"/>
        <v>100</v>
      </c>
      <c r="S26" s="67">
        <f t="shared" si="12"/>
        <v>100</v>
      </c>
      <c r="T26" s="67">
        <f t="shared" si="12"/>
        <v>100</v>
      </c>
      <c r="U26" s="67">
        <f t="shared" si="12"/>
        <v>100</v>
      </c>
      <c r="V26" s="67">
        <f t="shared" si="12"/>
        <v>100</v>
      </c>
      <c r="W26" s="67">
        <f t="shared" si="12"/>
        <v>100</v>
      </c>
      <c r="X26" s="67">
        <f t="shared" si="12"/>
        <v>100</v>
      </c>
      <c r="Y26" s="67">
        <f t="shared" si="12"/>
        <v>100</v>
      </c>
      <c r="Z26" s="67">
        <f t="shared" si="12"/>
        <v>100</v>
      </c>
      <c r="AA26" s="67">
        <f t="shared" si="12"/>
        <v>100</v>
      </c>
      <c r="AB26" s="67">
        <f t="shared" si="12"/>
        <v>100</v>
      </c>
      <c r="AC26" s="67">
        <f t="shared" si="12"/>
        <v>100</v>
      </c>
      <c r="AD26" s="67">
        <f t="shared" si="12"/>
        <v>100</v>
      </c>
      <c r="AE26" s="67">
        <f t="shared" si="12"/>
        <v>100</v>
      </c>
      <c r="AF26" s="67">
        <f t="shared" si="12"/>
        <v>100</v>
      </c>
      <c r="AG26" s="67">
        <f t="shared" si="12"/>
        <v>100</v>
      </c>
    </row>
    <row r="27" spans="1:34" x14ac:dyDescent="0.2">
      <c r="A27" s="184">
        <v>27</v>
      </c>
      <c r="B27" s="49"/>
      <c r="C27" s="1" t="s">
        <v>167</v>
      </c>
      <c r="D27" s="13">
        <f>ScenarioAvailability</f>
        <v>0.9</v>
      </c>
      <c r="E27" s="13">
        <f>D27</f>
        <v>0.9</v>
      </c>
      <c r="F27" s="13">
        <f t="shared" ref="F27:AG27" si="13">E27</f>
        <v>0.9</v>
      </c>
      <c r="G27" s="13">
        <f t="shared" si="13"/>
        <v>0.9</v>
      </c>
      <c r="H27" s="13">
        <f t="shared" si="13"/>
        <v>0.9</v>
      </c>
      <c r="I27" s="13">
        <f t="shared" si="13"/>
        <v>0.9</v>
      </c>
      <c r="J27" s="13">
        <f t="shared" si="13"/>
        <v>0.9</v>
      </c>
      <c r="K27" s="13">
        <f t="shared" si="13"/>
        <v>0.9</v>
      </c>
      <c r="L27" s="13">
        <f t="shared" si="13"/>
        <v>0.9</v>
      </c>
      <c r="M27" s="13">
        <f t="shared" si="13"/>
        <v>0.9</v>
      </c>
      <c r="N27" s="13">
        <f t="shared" si="13"/>
        <v>0.9</v>
      </c>
      <c r="O27" s="13">
        <f t="shared" si="13"/>
        <v>0.9</v>
      </c>
      <c r="P27" s="13">
        <f t="shared" si="13"/>
        <v>0.9</v>
      </c>
      <c r="Q27" s="13">
        <f t="shared" si="13"/>
        <v>0.9</v>
      </c>
      <c r="R27" s="13">
        <f t="shared" si="13"/>
        <v>0.9</v>
      </c>
      <c r="S27" s="13">
        <f t="shared" si="13"/>
        <v>0.9</v>
      </c>
      <c r="T27" s="13">
        <f t="shared" si="13"/>
        <v>0.9</v>
      </c>
      <c r="U27" s="13">
        <f t="shared" si="13"/>
        <v>0.9</v>
      </c>
      <c r="V27" s="13">
        <f t="shared" si="13"/>
        <v>0.9</v>
      </c>
      <c r="W27" s="13">
        <f t="shared" si="13"/>
        <v>0.9</v>
      </c>
      <c r="X27" s="13">
        <f t="shared" si="13"/>
        <v>0.9</v>
      </c>
      <c r="Y27" s="13">
        <f t="shared" si="13"/>
        <v>0.9</v>
      </c>
      <c r="Z27" s="13">
        <f t="shared" si="13"/>
        <v>0.9</v>
      </c>
      <c r="AA27" s="13">
        <f t="shared" si="13"/>
        <v>0.9</v>
      </c>
      <c r="AB27" s="13">
        <f t="shared" si="13"/>
        <v>0.9</v>
      </c>
      <c r="AC27" s="13">
        <f t="shared" si="13"/>
        <v>0.9</v>
      </c>
      <c r="AD27" s="13">
        <f t="shared" si="13"/>
        <v>0.9</v>
      </c>
      <c r="AE27" s="13">
        <f t="shared" si="13"/>
        <v>0.9</v>
      </c>
      <c r="AF27" s="13">
        <f t="shared" si="13"/>
        <v>0.9</v>
      </c>
      <c r="AG27" s="13">
        <f t="shared" si="13"/>
        <v>0.9</v>
      </c>
    </row>
    <row r="28" spans="1:34" x14ac:dyDescent="0.2">
      <c r="A28" s="184">
        <v>28</v>
      </c>
      <c r="C28" s="1" t="s">
        <v>3</v>
      </c>
      <c r="D28" s="8">
        <f>+D27*D26*24*365</f>
        <v>788400</v>
      </c>
      <c r="E28" s="8">
        <f>+E27*E26*24*365</f>
        <v>788400</v>
      </c>
      <c r="F28" s="8">
        <f t="shared" ref="F28:AG28" si="14">+F27*F26*24*365</f>
        <v>788400</v>
      </c>
      <c r="G28" s="8">
        <f t="shared" si="14"/>
        <v>788400</v>
      </c>
      <c r="H28" s="8">
        <f t="shared" si="14"/>
        <v>788400</v>
      </c>
      <c r="I28" s="8">
        <f t="shared" si="14"/>
        <v>788400</v>
      </c>
      <c r="J28" s="8">
        <f t="shared" si="14"/>
        <v>788400</v>
      </c>
      <c r="K28" s="8">
        <f t="shared" si="14"/>
        <v>788400</v>
      </c>
      <c r="L28" s="8">
        <f t="shared" si="14"/>
        <v>788400</v>
      </c>
      <c r="M28" s="8">
        <f t="shared" si="14"/>
        <v>788400</v>
      </c>
      <c r="N28" s="8">
        <f t="shared" si="14"/>
        <v>788400</v>
      </c>
      <c r="O28" s="8">
        <f t="shared" si="14"/>
        <v>788400</v>
      </c>
      <c r="P28" s="8">
        <f t="shared" si="14"/>
        <v>788400</v>
      </c>
      <c r="Q28" s="8">
        <f t="shared" si="14"/>
        <v>788400</v>
      </c>
      <c r="R28" s="8">
        <f t="shared" si="14"/>
        <v>788400</v>
      </c>
      <c r="S28" s="8">
        <f t="shared" si="14"/>
        <v>788400</v>
      </c>
      <c r="T28" s="8">
        <f t="shared" si="14"/>
        <v>788400</v>
      </c>
      <c r="U28" s="8">
        <f t="shared" si="14"/>
        <v>788400</v>
      </c>
      <c r="V28" s="8">
        <f t="shared" si="14"/>
        <v>788400</v>
      </c>
      <c r="W28" s="8">
        <f t="shared" si="14"/>
        <v>788400</v>
      </c>
      <c r="X28" s="8">
        <f t="shared" si="14"/>
        <v>788400</v>
      </c>
      <c r="Y28" s="8">
        <f t="shared" si="14"/>
        <v>788400</v>
      </c>
      <c r="Z28" s="8">
        <f t="shared" si="14"/>
        <v>788400</v>
      </c>
      <c r="AA28" s="8">
        <f t="shared" si="14"/>
        <v>788400</v>
      </c>
      <c r="AB28" s="8">
        <f t="shared" si="14"/>
        <v>788400</v>
      </c>
      <c r="AC28" s="8">
        <f t="shared" si="14"/>
        <v>788400</v>
      </c>
      <c r="AD28" s="8">
        <f t="shared" si="14"/>
        <v>788400</v>
      </c>
      <c r="AE28" s="8">
        <f t="shared" si="14"/>
        <v>788400</v>
      </c>
      <c r="AF28" s="8">
        <f t="shared" si="14"/>
        <v>788400</v>
      </c>
      <c r="AG28" s="8">
        <f t="shared" si="14"/>
        <v>788400</v>
      </c>
    </row>
    <row r="29" spans="1:34" x14ac:dyDescent="0.2">
      <c r="A29" s="184">
        <v>29</v>
      </c>
      <c r="B29" s="14" t="s">
        <v>148</v>
      </c>
      <c r="C29" s="1" t="s">
        <v>49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4" x14ac:dyDescent="0.2">
      <c r="A30" s="184">
        <v>30</v>
      </c>
      <c r="C30" s="1" t="s">
        <v>11</v>
      </c>
      <c r="D30" s="8">
        <f>+D29+D28</f>
        <v>788400</v>
      </c>
      <c r="E30" s="8">
        <f t="shared" ref="E30:AG30" si="15">+E29+E28</f>
        <v>788400</v>
      </c>
      <c r="F30" s="8">
        <f t="shared" si="15"/>
        <v>788400</v>
      </c>
      <c r="G30" s="8">
        <f t="shared" si="15"/>
        <v>788400</v>
      </c>
      <c r="H30" s="8">
        <f t="shared" si="15"/>
        <v>788400</v>
      </c>
      <c r="I30" s="8">
        <f t="shared" si="15"/>
        <v>788400</v>
      </c>
      <c r="J30" s="8">
        <f t="shared" si="15"/>
        <v>788400</v>
      </c>
      <c r="K30" s="8">
        <f t="shared" si="15"/>
        <v>788400</v>
      </c>
      <c r="L30" s="8">
        <f t="shared" si="15"/>
        <v>788400</v>
      </c>
      <c r="M30" s="8">
        <f t="shared" si="15"/>
        <v>788400</v>
      </c>
      <c r="N30" s="8">
        <f t="shared" si="15"/>
        <v>788400</v>
      </c>
      <c r="O30" s="8">
        <f t="shared" si="15"/>
        <v>788400</v>
      </c>
      <c r="P30" s="8">
        <f t="shared" si="15"/>
        <v>788400</v>
      </c>
      <c r="Q30" s="8">
        <f t="shared" si="15"/>
        <v>788400</v>
      </c>
      <c r="R30" s="8">
        <f t="shared" si="15"/>
        <v>788400</v>
      </c>
      <c r="S30" s="8">
        <f t="shared" si="15"/>
        <v>788400</v>
      </c>
      <c r="T30" s="8">
        <f t="shared" si="15"/>
        <v>788400</v>
      </c>
      <c r="U30" s="8">
        <f t="shared" si="15"/>
        <v>788400</v>
      </c>
      <c r="V30" s="8">
        <f t="shared" si="15"/>
        <v>788400</v>
      </c>
      <c r="W30" s="8">
        <f t="shared" si="15"/>
        <v>788400</v>
      </c>
      <c r="X30" s="8">
        <f t="shared" si="15"/>
        <v>788400</v>
      </c>
      <c r="Y30" s="8">
        <f t="shared" si="15"/>
        <v>788400</v>
      </c>
      <c r="Z30" s="8">
        <f t="shared" si="15"/>
        <v>788400</v>
      </c>
      <c r="AA30" s="8">
        <f t="shared" si="15"/>
        <v>788400</v>
      </c>
      <c r="AB30" s="8">
        <f t="shared" si="15"/>
        <v>788400</v>
      </c>
      <c r="AC30" s="8">
        <f t="shared" si="15"/>
        <v>788400</v>
      </c>
      <c r="AD30" s="8">
        <f t="shared" si="15"/>
        <v>788400</v>
      </c>
      <c r="AE30" s="8">
        <f t="shared" si="15"/>
        <v>788400</v>
      </c>
      <c r="AF30" s="8">
        <f t="shared" si="15"/>
        <v>788400</v>
      </c>
      <c r="AG30" s="8">
        <f t="shared" si="15"/>
        <v>788400</v>
      </c>
    </row>
    <row r="31" spans="1:34" ht="8.1" customHeight="1" x14ac:dyDescent="0.2">
      <c r="A31" s="184"/>
    </row>
    <row r="32" spans="1:34" x14ac:dyDescent="0.2">
      <c r="A32" s="184"/>
      <c r="B32" s="14"/>
      <c r="C32" s="181" t="s">
        <v>166</v>
      </c>
      <c r="D32" s="182"/>
      <c r="E32" s="182"/>
      <c r="F32" s="182"/>
      <c r="G32" s="182"/>
      <c r="H32" s="182"/>
      <c r="I32" s="182"/>
      <c r="J32" s="181" t="str">
        <f>C32</f>
        <v>SCENARIO OUTPUT PRICING SELECTION</v>
      </c>
      <c r="K32" s="182"/>
      <c r="L32" s="182"/>
      <c r="M32" s="182"/>
      <c r="N32" s="182"/>
      <c r="O32" s="182"/>
      <c r="P32" s="182"/>
      <c r="Q32" s="182"/>
      <c r="R32" s="181" t="str">
        <f>C32</f>
        <v>SCENARIO OUTPUT PRICING SELECTION</v>
      </c>
      <c r="S32" s="182"/>
      <c r="T32" s="182"/>
      <c r="U32" s="182"/>
      <c r="V32" s="182"/>
      <c r="W32" s="182"/>
      <c r="X32" s="182"/>
      <c r="Y32" s="182"/>
      <c r="Z32" s="181" t="str">
        <f>C32</f>
        <v>SCENARIO OUTPUT PRICING SELECTION</v>
      </c>
      <c r="AA32" s="182"/>
      <c r="AB32" s="182"/>
      <c r="AC32" s="182"/>
      <c r="AD32" s="182"/>
      <c r="AE32" s="182"/>
      <c r="AF32" s="182"/>
      <c r="AG32" s="182"/>
    </row>
    <row r="33" spans="1:33" x14ac:dyDescent="0.2">
      <c r="A33" s="184">
        <v>33</v>
      </c>
      <c r="B33" s="14">
        <f>'Inputs '!K3</f>
        <v>0</v>
      </c>
      <c r="C33" s="1" t="s">
        <v>39</v>
      </c>
      <c r="D33" s="16">
        <f>'Inputs '!J12</f>
        <v>56.15</v>
      </c>
      <c r="E33" s="16">
        <f>$D$33</f>
        <v>56.15</v>
      </c>
      <c r="F33" s="16">
        <f t="shared" ref="F33:AG33" si="16">$D$33</f>
        <v>56.15</v>
      </c>
      <c r="G33" s="16">
        <f t="shared" si="16"/>
        <v>56.15</v>
      </c>
      <c r="H33" s="16">
        <f t="shared" si="16"/>
        <v>56.15</v>
      </c>
      <c r="I33" s="16">
        <f t="shared" si="16"/>
        <v>56.15</v>
      </c>
      <c r="J33" s="16">
        <f t="shared" si="16"/>
        <v>56.15</v>
      </c>
      <c r="K33" s="16">
        <f t="shared" si="16"/>
        <v>56.15</v>
      </c>
      <c r="L33" s="16">
        <f t="shared" si="16"/>
        <v>56.15</v>
      </c>
      <c r="M33" s="16">
        <f t="shared" si="16"/>
        <v>56.15</v>
      </c>
      <c r="N33" s="16">
        <f t="shared" si="16"/>
        <v>56.15</v>
      </c>
      <c r="O33" s="16">
        <f t="shared" si="16"/>
        <v>56.15</v>
      </c>
      <c r="P33" s="16">
        <f t="shared" si="16"/>
        <v>56.15</v>
      </c>
      <c r="Q33" s="16">
        <f t="shared" si="16"/>
        <v>56.15</v>
      </c>
      <c r="R33" s="16">
        <f t="shared" si="16"/>
        <v>56.15</v>
      </c>
      <c r="S33" s="16">
        <f t="shared" si="16"/>
        <v>56.15</v>
      </c>
      <c r="T33" s="16">
        <f t="shared" si="16"/>
        <v>56.15</v>
      </c>
      <c r="U33" s="16">
        <f t="shared" si="16"/>
        <v>56.15</v>
      </c>
      <c r="V33" s="16">
        <f t="shared" si="16"/>
        <v>56.15</v>
      </c>
      <c r="W33" s="16">
        <f t="shared" si="16"/>
        <v>56.15</v>
      </c>
      <c r="X33" s="16">
        <f t="shared" si="16"/>
        <v>56.15</v>
      </c>
      <c r="Y33" s="16">
        <f t="shared" si="16"/>
        <v>56.15</v>
      </c>
      <c r="Z33" s="16">
        <f t="shared" si="16"/>
        <v>56.15</v>
      </c>
      <c r="AA33" s="16">
        <f t="shared" si="16"/>
        <v>56.15</v>
      </c>
      <c r="AB33" s="16">
        <f t="shared" si="16"/>
        <v>56.15</v>
      </c>
      <c r="AC33" s="16">
        <f t="shared" si="16"/>
        <v>56.15</v>
      </c>
      <c r="AD33" s="16">
        <f t="shared" si="16"/>
        <v>56.15</v>
      </c>
      <c r="AE33" s="16">
        <f t="shared" si="16"/>
        <v>56.15</v>
      </c>
      <c r="AF33" s="16">
        <f t="shared" si="16"/>
        <v>56.15</v>
      </c>
      <c r="AG33" s="16">
        <f t="shared" si="16"/>
        <v>56.15</v>
      </c>
    </row>
    <row r="34" spans="1:33" x14ac:dyDescent="0.2">
      <c r="A34" s="184">
        <v>34</v>
      </c>
      <c r="B34" s="14">
        <f>'Inputs '!K4</f>
        <v>0</v>
      </c>
      <c r="C34" s="22" t="s">
        <v>40</v>
      </c>
      <c r="D34" s="16">
        <f>'Inputs '!J13</f>
        <v>23.74</v>
      </c>
      <c r="E34" s="26">
        <f>$D$34</f>
        <v>23.74</v>
      </c>
      <c r="F34" s="26">
        <f t="shared" ref="F34:AG34" si="17">$D$34</f>
        <v>23.74</v>
      </c>
      <c r="G34" s="26">
        <f t="shared" si="17"/>
        <v>23.74</v>
      </c>
      <c r="H34" s="26">
        <f t="shared" si="17"/>
        <v>23.74</v>
      </c>
      <c r="I34" s="26">
        <f t="shared" si="17"/>
        <v>23.74</v>
      </c>
      <c r="J34" s="26">
        <f t="shared" si="17"/>
        <v>23.74</v>
      </c>
      <c r="K34" s="26">
        <f t="shared" si="17"/>
        <v>23.74</v>
      </c>
      <c r="L34" s="26">
        <f t="shared" si="17"/>
        <v>23.74</v>
      </c>
      <c r="M34" s="26">
        <f t="shared" si="17"/>
        <v>23.74</v>
      </c>
      <c r="N34" s="26">
        <f t="shared" si="17"/>
        <v>23.74</v>
      </c>
      <c r="O34" s="26">
        <f t="shared" si="17"/>
        <v>23.74</v>
      </c>
      <c r="P34" s="26">
        <f t="shared" si="17"/>
        <v>23.74</v>
      </c>
      <c r="Q34" s="26">
        <f t="shared" si="17"/>
        <v>23.74</v>
      </c>
      <c r="R34" s="26">
        <f t="shared" si="17"/>
        <v>23.74</v>
      </c>
      <c r="S34" s="26">
        <f t="shared" si="17"/>
        <v>23.74</v>
      </c>
      <c r="T34" s="26">
        <f t="shared" si="17"/>
        <v>23.74</v>
      </c>
      <c r="U34" s="26">
        <f t="shared" si="17"/>
        <v>23.74</v>
      </c>
      <c r="V34" s="26">
        <f t="shared" si="17"/>
        <v>23.74</v>
      </c>
      <c r="W34" s="26">
        <f t="shared" si="17"/>
        <v>23.74</v>
      </c>
      <c r="X34" s="26">
        <f t="shared" si="17"/>
        <v>23.74</v>
      </c>
      <c r="Y34" s="26">
        <f t="shared" si="17"/>
        <v>23.74</v>
      </c>
      <c r="Z34" s="26">
        <f t="shared" si="17"/>
        <v>23.74</v>
      </c>
      <c r="AA34" s="26">
        <f t="shared" si="17"/>
        <v>23.74</v>
      </c>
      <c r="AB34" s="26">
        <f t="shared" si="17"/>
        <v>23.74</v>
      </c>
      <c r="AC34" s="26">
        <f t="shared" si="17"/>
        <v>23.74</v>
      </c>
      <c r="AD34" s="26">
        <f t="shared" si="17"/>
        <v>23.74</v>
      </c>
      <c r="AE34" s="26">
        <f t="shared" si="17"/>
        <v>23.74</v>
      </c>
      <c r="AF34" s="26">
        <f t="shared" si="17"/>
        <v>23.74</v>
      </c>
      <c r="AG34" s="26">
        <f t="shared" si="17"/>
        <v>23.74</v>
      </c>
    </row>
    <row r="35" spans="1:33" x14ac:dyDescent="0.2">
      <c r="A35" s="184">
        <v>35</v>
      </c>
      <c r="B35" s="14" t="s">
        <v>50</v>
      </c>
      <c r="C35" s="1" t="s">
        <v>43</v>
      </c>
      <c r="D35" s="16">
        <f>D58</f>
        <v>12.683916793505835</v>
      </c>
      <c r="E35" s="16">
        <f t="shared" ref="E35:AG35" si="18">E56/E30</f>
        <v>12.358688157774916</v>
      </c>
      <c r="F35" s="16">
        <f t="shared" si="18"/>
        <v>12.128588897995291</v>
      </c>
      <c r="G35" s="16">
        <f t="shared" si="18"/>
        <v>11.898904304726225</v>
      </c>
      <c r="H35" s="16">
        <f t="shared" si="18"/>
        <v>11.669646817963029</v>
      </c>
      <c r="I35" s="16">
        <f t="shared" si="18"/>
        <v>11.440829250900885</v>
      </c>
      <c r="J35" s="16">
        <f t="shared" si="18"/>
        <v>11.212464801130823</v>
      </c>
      <c r="K35" s="16">
        <f t="shared" si="18"/>
        <v>10.984567062171601</v>
      </c>
      <c r="L35" s="16">
        <f t="shared" si="18"/>
        <v>10.75715003534755</v>
      </c>
      <c r="M35" s="16">
        <f t="shared" si="18"/>
        <v>10.530228142022725</v>
      </c>
      <c r="N35" s="16">
        <f t="shared" si="18"/>
        <v>10.303816236202099</v>
      </c>
      <c r="O35" s="16">
        <f t="shared" si="18"/>
        <v>10.077929617510801</v>
      </c>
      <c r="P35" s="16">
        <f t="shared" si="18"/>
        <v>9.8525840445627129</v>
      </c>
      <c r="Q35" s="16">
        <f t="shared" si="18"/>
        <v>9.6277957487301205</v>
      </c>
      <c r="R35" s="16">
        <f t="shared" si="18"/>
        <v>9.4035814483265021</v>
      </c>
      <c r="S35" s="16">
        <f t="shared" si="18"/>
        <v>9.1799583632147161</v>
      </c>
      <c r="T35" s="16">
        <f t="shared" si="18"/>
        <v>8.9569442298535247</v>
      </c>
      <c r="U35" s="16">
        <f t="shared" si="18"/>
        <v>8.7345573167954438</v>
      </c>
      <c r="V35" s="16">
        <f t="shared" si="18"/>
        <v>8.5128164406495657</v>
      </c>
      <c r="W35" s="16">
        <f t="shared" si="18"/>
        <v>8.2917409825232546</v>
      </c>
      <c r="X35" s="16">
        <f t="shared" si="18"/>
        <v>8.0713509049571037</v>
      </c>
      <c r="Y35" s="16">
        <f t="shared" si="18"/>
        <v>7.8516667693679114</v>
      </c>
      <c r="Z35" s="16">
        <f t="shared" si="18"/>
        <v>7.6327097540149902</v>
      </c>
      <c r="AA35" s="16">
        <f t="shared" si="18"/>
        <v>7.4145016725054251</v>
      </c>
      <c r="AB35" s="16">
        <f t="shared" si="18"/>
        <v>7.1970649928545214</v>
      </c>
      <c r="AC35" s="16">
        <f t="shared" si="18"/>
        <v>6.9804228571180351</v>
      </c>
      <c r="AD35" s="16">
        <f t="shared" si="18"/>
        <v>6.7645991016133999</v>
      </c>
      <c r="AE35" s="16">
        <f t="shared" si="18"/>
        <v>6.5496182777475704</v>
      </c>
      <c r="AF35" s="16">
        <f t="shared" si="18"/>
        <v>6.3355056734697142</v>
      </c>
      <c r="AG35" s="16">
        <f t="shared" si="18"/>
        <v>6.1222873353674645</v>
      </c>
    </row>
    <row r="36" spans="1:33" x14ac:dyDescent="0.2">
      <c r="A36" s="184">
        <v>36</v>
      </c>
      <c r="B36" s="14">
        <f>'Inputs '!K15</f>
        <v>2.5000000000000001E-2</v>
      </c>
      <c r="C36" s="1" t="s">
        <v>41</v>
      </c>
      <c r="D36" s="16">
        <f>'Inputs '!J15</f>
        <v>3.56</v>
      </c>
      <c r="E36" s="3">
        <f t="shared" ref="E36:AG36" si="19">+D36*(1+$B36)</f>
        <v>3.6489999999999996</v>
      </c>
      <c r="F36" s="3">
        <f t="shared" si="19"/>
        <v>3.7402249999999992</v>
      </c>
      <c r="G36" s="3">
        <f t="shared" si="19"/>
        <v>3.8337306249999989</v>
      </c>
      <c r="H36" s="3">
        <f t="shared" si="19"/>
        <v>3.9295738906249986</v>
      </c>
      <c r="I36" s="3">
        <f t="shared" si="19"/>
        <v>4.0278132378906228</v>
      </c>
      <c r="J36" s="3">
        <f t="shared" si="19"/>
        <v>4.128508568837888</v>
      </c>
      <c r="K36" s="3">
        <f t="shared" si="19"/>
        <v>4.2317212830588344</v>
      </c>
      <c r="L36" s="3">
        <f t="shared" si="19"/>
        <v>4.3375143151353051</v>
      </c>
      <c r="M36" s="3">
        <f t="shared" si="19"/>
        <v>4.4459521730136871</v>
      </c>
      <c r="N36" s="3">
        <f t="shared" si="19"/>
        <v>4.5571009773390285</v>
      </c>
      <c r="O36" s="3">
        <f t="shared" si="19"/>
        <v>4.6710285017725042</v>
      </c>
      <c r="P36" s="3">
        <f t="shared" si="19"/>
        <v>4.7878042143168162</v>
      </c>
      <c r="Q36" s="3">
        <f t="shared" si="19"/>
        <v>4.9074993196747361</v>
      </c>
      <c r="R36" s="3">
        <f t="shared" si="19"/>
        <v>5.0301868026666039</v>
      </c>
      <c r="S36" s="3">
        <f t="shared" si="19"/>
        <v>5.1559414727332689</v>
      </c>
      <c r="T36" s="3">
        <f t="shared" si="19"/>
        <v>5.2848400095516004</v>
      </c>
      <c r="U36" s="3">
        <f t="shared" si="19"/>
        <v>5.4169610097903895</v>
      </c>
      <c r="V36" s="3">
        <f t="shared" si="19"/>
        <v>5.5523850350351491</v>
      </c>
      <c r="W36" s="3">
        <f t="shared" si="19"/>
        <v>5.6911946609110275</v>
      </c>
      <c r="X36" s="3">
        <f t="shared" si="19"/>
        <v>5.8334745274338031</v>
      </c>
      <c r="Y36" s="3">
        <f t="shared" si="19"/>
        <v>5.9793113906196478</v>
      </c>
      <c r="Z36" s="3">
        <f t="shared" si="19"/>
        <v>6.1287941753851385</v>
      </c>
      <c r="AA36" s="3">
        <f t="shared" si="19"/>
        <v>6.2820140297697664</v>
      </c>
      <c r="AB36" s="3">
        <f t="shared" si="19"/>
        <v>6.4390643805140098</v>
      </c>
      <c r="AC36" s="3">
        <f t="shared" si="19"/>
        <v>6.6000409900268595</v>
      </c>
      <c r="AD36" s="3">
        <f t="shared" si="19"/>
        <v>6.7650420147775305</v>
      </c>
      <c r="AE36" s="3">
        <f t="shared" si="19"/>
        <v>6.9341680651469684</v>
      </c>
      <c r="AF36" s="3">
        <f t="shared" si="19"/>
        <v>7.1075222667756419</v>
      </c>
      <c r="AG36" s="3">
        <f t="shared" si="19"/>
        <v>7.2852103234450327</v>
      </c>
    </row>
    <row r="37" spans="1:33" x14ac:dyDescent="0.2">
      <c r="A37" s="184">
        <v>37</v>
      </c>
      <c r="B37" s="14">
        <f>'Inputs '!K17</f>
        <v>2.5000000000000001E-2</v>
      </c>
      <c r="C37" s="1" t="s">
        <v>42</v>
      </c>
      <c r="D37" s="16">
        <f>'Inputs '!J17</f>
        <v>37.799999999999997</v>
      </c>
      <c r="E37" s="3">
        <f t="shared" ref="E37:AG37" si="20">+D37*(1+$B37)</f>
        <v>38.74499999999999</v>
      </c>
      <c r="F37" s="3">
        <f t="shared" si="20"/>
        <v>39.713624999999986</v>
      </c>
      <c r="G37" s="3">
        <f t="shared" si="20"/>
        <v>40.706465624999986</v>
      </c>
      <c r="H37" s="3">
        <f t="shared" si="20"/>
        <v>41.724127265624979</v>
      </c>
      <c r="I37" s="3">
        <f t="shared" si="20"/>
        <v>42.767230447265597</v>
      </c>
      <c r="J37" s="3">
        <f t="shared" si="20"/>
        <v>43.836411208447231</v>
      </c>
      <c r="K37" s="3">
        <f t="shared" si="20"/>
        <v>44.93232148865841</v>
      </c>
      <c r="L37" s="3">
        <f t="shared" si="20"/>
        <v>46.055629525874863</v>
      </c>
      <c r="M37" s="3">
        <f t="shared" si="20"/>
        <v>47.207020264021729</v>
      </c>
      <c r="N37" s="3">
        <f t="shared" si="20"/>
        <v>48.38719577062227</v>
      </c>
      <c r="O37" s="3">
        <f t="shared" si="20"/>
        <v>49.596875664887826</v>
      </c>
      <c r="P37" s="3">
        <f t="shared" si="20"/>
        <v>50.836797556510014</v>
      </c>
      <c r="Q37" s="3">
        <f t="shared" si="20"/>
        <v>52.107717495422762</v>
      </c>
      <c r="R37" s="3">
        <f t="shared" si="20"/>
        <v>53.410410432808327</v>
      </c>
      <c r="S37" s="3">
        <f t="shared" si="20"/>
        <v>54.745670693628533</v>
      </c>
      <c r="T37" s="3">
        <f t="shared" si="20"/>
        <v>56.114312460969238</v>
      </c>
      <c r="U37" s="3">
        <f t="shared" si="20"/>
        <v>57.517170272493466</v>
      </c>
      <c r="V37" s="3">
        <f t="shared" si="20"/>
        <v>58.955099529305798</v>
      </c>
      <c r="W37" s="3">
        <f t="shared" si="20"/>
        <v>60.428977017538436</v>
      </c>
      <c r="X37" s="3">
        <f t="shared" si="20"/>
        <v>61.93970144297689</v>
      </c>
      <c r="Y37" s="3">
        <f t="shared" si="20"/>
        <v>63.48819397905131</v>
      </c>
      <c r="Z37" s="3">
        <f t="shared" si="20"/>
        <v>65.075398828527582</v>
      </c>
      <c r="AA37" s="3">
        <f t="shared" si="20"/>
        <v>66.70228379924076</v>
      </c>
      <c r="AB37" s="3">
        <f t="shared" si="20"/>
        <v>68.369840894221767</v>
      </c>
      <c r="AC37" s="3">
        <f t="shared" si="20"/>
        <v>70.07908691657731</v>
      </c>
      <c r="AD37" s="3">
        <f t="shared" si="20"/>
        <v>71.831064089491733</v>
      </c>
      <c r="AE37" s="3">
        <f t="shared" si="20"/>
        <v>73.626840691729015</v>
      </c>
      <c r="AF37" s="3">
        <f t="shared" si="20"/>
        <v>75.467511709022233</v>
      </c>
      <c r="AG37" s="3">
        <f t="shared" si="20"/>
        <v>77.354199501747786</v>
      </c>
    </row>
    <row r="38" spans="1:33" ht="6" customHeight="1" x14ac:dyDescent="0.2">
      <c r="A38" s="184"/>
      <c r="B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184"/>
      <c r="B39" s="6"/>
      <c r="C39" s="181" t="s">
        <v>170</v>
      </c>
      <c r="D39" s="183"/>
      <c r="E39" s="183"/>
      <c r="F39" s="183"/>
      <c r="G39" s="183"/>
      <c r="H39" s="183"/>
      <c r="I39" s="183"/>
      <c r="J39" s="181" t="str">
        <f>C39</f>
        <v>GREC SCENARIO COST OF POWER</v>
      </c>
      <c r="K39" s="182"/>
      <c r="L39" s="182"/>
      <c r="M39" s="182"/>
      <c r="N39" s="182"/>
      <c r="O39" s="182"/>
      <c r="P39" s="182"/>
      <c r="Q39" s="182"/>
      <c r="R39" s="181" t="str">
        <f>C39</f>
        <v>GREC SCENARIO COST OF POWER</v>
      </c>
      <c r="S39" s="182"/>
      <c r="T39" s="182"/>
      <c r="U39" s="182"/>
      <c r="V39" s="182"/>
      <c r="W39" s="182"/>
      <c r="X39" s="182"/>
      <c r="Y39" s="182"/>
      <c r="Z39" s="181" t="str">
        <f>C39</f>
        <v>GREC SCENARIO COST OF POWER</v>
      </c>
      <c r="AA39" s="183"/>
      <c r="AB39" s="183"/>
      <c r="AC39" s="183"/>
      <c r="AD39" s="183"/>
      <c r="AE39" s="183"/>
      <c r="AF39" s="183"/>
      <c r="AG39" s="183"/>
    </row>
    <row r="40" spans="1:33" x14ac:dyDescent="0.2">
      <c r="A40" s="184">
        <v>40</v>
      </c>
      <c r="B40" s="180"/>
      <c r="C40" s="1" t="s">
        <v>38</v>
      </c>
      <c r="D40" s="3">
        <f>SUM(D33:D37)</f>
        <v>133.93391679350583</v>
      </c>
      <c r="E40" s="3">
        <f t="shared" ref="E40:AG40" si="21">SUM(E33:E37)</f>
        <v>134.6426881577749</v>
      </c>
      <c r="F40" s="3">
        <f t="shared" si="21"/>
        <v>135.47243889799526</v>
      </c>
      <c r="G40" s="3">
        <f t="shared" si="21"/>
        <v>136.32910055472621</v>
      </c>
      <c r="H40" s="3">
        <f t="shared" si="21"/>
        <v>137.21334797421301</v>
      </c>
      <c r="I40" s="3">
        <f t="shared" si="21"/>
        <v>138.12587293605711</v>
      </c>
      <c r="J40" s="3">
        <f t="shared" si="21"/>
        <v>139.06738457841595</v>
      </c>
      <c r="K40" s="3">
        <f t="shared" si="21"/>
        <v>140.03860983388884</v>
      </c>
      <c r="L40" s="3">
        <f t="shared" si="21"/>
        <v>141.04029387635774</v>
      </c>
      <c r="M40" s="3">
        <f t="shared" si="21"/>
        <v>142.07320057905815</v>
      </c>
      <c r="N40" s="3">
        <f t="shared" si="21"/>
        <v>143.1381129841634</v>
      </c>
      <c r="O40" s="3">
        <f t="shared" si="21"/>
        <v>144.23583378417112</v>
      </c>
      <c r="P40" s="3">
        <f t="shared" si="21"/>
        <v>145.36718581538955</v>
      </c>
      <c r="Q40" s="3">
        <f t="shared" si="21"/>
        <v>146.53301256382764</v>
      </c>
      <c r="R40" s="3">
        <f t="shared" si="21"/>
        <v>147.73417868380145</v>
      </c>
      <c r="S40" s="3">
        <f t="shared" si="21"/>
        <v>148.97157052957652</v>
      </c>
      <c r="T40" s="3">
        <f t="shared" si="21"/>
        <v>150.24609670037435</v>
      </c>
      <c r="U40" s="3">
        <f t="shared" si="21"/>
        <v>151.55868859907929</v>
      </c>
      <c r="V40" s="3">
        <f t="shared" si="21"/>
        <v>152.91030100499052</v>
      </c>
      <c r="W40" s="3">
        <f t="shared" si="21"/>
        <v>154.3019126609727</v>
      </c>
      <c r="X40" s="3">
        <f t="shared" si="21"/>
        <v>155.73452687536781</v>
      </c>
      <c r="Y40" s="3">
        <f t="shared" si="21"/>
        <v>157.20917213903886</v>
      </c>
      <c r="Z40" s="3">
        <f t="shared" si="21"/>
        <v>158.72690275792772</v>
      </c>
      <c r="AA40" s="3">
        <f t="shared" si="21"/>
        <v>160.28879950151594</v>
      </c>
      <c r="AB40" s="3">
        <f t="shared" si="21"/>
        <v>161.89597026759031</v>
      </c>
      <c r="AC40" s="3">
        <f t="shared" si="21"/>
        <v>163.54955076372221</v>
      </c>
      <c r="AD40" s="3">
        <f t="shared" si="21"/>
        <v>165.25070520588267</v>
      </c>
      <c r="AE40" s="3">
        <f t="shared" si="21"/>
        <v>167.00062703462356</v>
      </c>
      <c r="AF40" s="3">
        <f t="shared" si="21"/>
        <v>168.80053964926759</v>
      </c>
      <c r="AG40" s="3">
        <f t="shared" si="21"/>
        <v>170.65169716056027</v>
      </c>
    </row>
    <row r="41" spans="1:33" x14ac:dyDescent="0.2">
      <c r="A41" s="184">
        <v>41</v>
      </c>
      <c r="B41" s="180"/>
      <c r="C41" s="1" t="s">
        <v>0</v>
      </c>
      <c r="D41" s="7">
        <f>+D40*D30</f>
        <v>105593500</v>
      </c>
      <c r="E41" s="7">
        <f t="shared" ref="E41:AG41" si="22">+E40*E30</f>
        <v>106152295.34358972</v>
      </c>
      <c r="F41" s="7">
        <f t="shared" si="22"/>
        <v>106806470.82717946</v>
      </c>
      <c r="G41" s="7">
        <f t="shared" si="22"/>
        <v>107481862.87734614</v>
      </c>
      <c r="H41" s="7">
        <f t="shared" si="22"/>
        <v>108179003.54286954</v>
      </c>
      <c r="I41" s="7">
        <f t="shared" si="22"/>
        <v>108898438.22278742</v>
      </c>
      <c r="J41" s="7">
        <f t="shared" si="22"/>
        <v>109640726.00162314</v>
      </c>
      <c r="K41" s="7">
        <f t="shared" si="22"/>
        <v>110406439.99303797</v>
      </c>
      <c r="L41" s="7">
        <f t="shared" si="22"/>
        <v>111196167.69212043</v>
      </c>
      <c r="M41" s="7">
        <f t="shared" si="22"/>
        <v>112010511.33652945</v>
      </c>
      <c r="N41" s="7">
        <f t="shared" si="22"/>
        <v>112850088.27671443</v>
      </c>
      <c r="O41" s="7">
        <f t="shared" si="22"/>
        <v>113715531.35544051</v>
      </c>
      <c r="P41" s="7">
        <f t="shared" si="22"/>
        <v>114607489.29685313</v>
      </c>
      <c r="Q41" s="7">
        <f t="shared" si="22"/>
        <v>115526627.10532171</v>
      </c>
      <c r="R41" s="7">
        <f t="shared" si="22"/>
        <v>116473626.47430906</v>
      </c>
      <c r="S41" s="7">
        <f t="shared" si="22"/>
        <v>117449186.20551813</v>
      </c>
      <c r="T41" s="7">
        <f t="shared" si="22"/>
        <v>118454022.63857514</v>
      </c>
      <c r="U41" s="7">
        <f t="shared" si="22"/>
        <v>119488870.09151411</v>
      </c>
      <c r="V41" s="7">
        <f t="shared" si="22"/>
        <v>120554481.31233452</v>
      </c>
      <c r="W41" s="7">
        <f t="shared" si="22"/>
        <v>121651627.94191088</v>
      </c>
      <c r="X41" s="7">
        <f t="shared" si="22"/>
        <v>122781100.98853998</v>
      </c>
      <c r="Y41" s="7">
        <f t="shared" si="22"/>
        <v>123943711.31441823</v>
      </c>
      <c r="Z41" s="7">
        <f t="shared" si="22"/>
        <v>125140290.13435021</v>
      </c>
      <c r="AA41" s="7">
        <f t="shared" si="22"/>
        <v>126371689.52699517</v>
      </c>
      <c r="AB41" s="7">
        <f t="shared" si="22"/>
        <v>127638782.95896821</v>
      </c>
      <c r="AC41" s="7">
        <f t="shared" si="22"/>
        <v>128942465.8221186</v>
      </c>
      <c r="AD41" s="7">
        <f t="shared" si="22"/>
        <v>130283655.9843179</v>
      </c>
      <c r="AE41" s="7">
        <f t="shared" si="22"/>
        <v>131663294.35409722</v>
      </c>
      <c r="AF41" s="7">
        <f t="shared" si="22"/>
        <v>133082345.45948257</v>
      </c>
      <c r="AG41" s="7">
        <f t="shared" si="22"/>
        <v>134541798.04138571</v>
      </c>
    </row>
    <row r="42" spans="1:33" ht="12.75" customHeight="1" x14ac:dyDescent="0.2">
      <c r="A42" s="18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">
      <c r="A43" s="184"/>
      <c r="B43" s="6"/>
      <c r="C43" s="181" t="s">
        <v>171</v>
      </c>
      <c r="D43" s="183"/>
      <c r="E43" s="183"/>
      <c r="F43" s="183"/>
      <c r="G43" s="183"/>
      <c r="H43" s="183"/>
      <c r="I43" s="183"/>
      <c r="J43" s="181" t="str">
        <f>C43</f>
        <v>SHORTFALL ENERGY COST OF POWER</v>
      </c>
      <c r="K43" s="182"/>
      <c r="L43" s="182"/>
      <c r="M43" s="182"/>
      <c r="N43" s="182"/>
      <c r="O43" s="182"/>
      <c r="P43" s="182"/>
      <c r="Q43" s="182"/>
      <c r="R43" s="181" t="str">
        <f>C43</f>
        <v>SHORTFALL ENERGY COST OF POWER</v>
      </c>
      <c r="S43" s="182"/>
      <c r="T43" s="182"/>
      <c r="U43" s="182"/>
      <c r="V43" s="182"/>
      <c r="W43" s="182"/>
      <c r="X43" s="182"/>
      <c r="Y43" s="182"/>
      <c r="Z43" s="181" t="str">
        <f>C43</f>
        <v>SHORTFALL ENERGY COST OF POWER</v>
      </c>
      <c r="AA43" s="183"/>
      <c r="AB43" s="183"/>
      <c r="AC43" s="183"/>
      <c r="AD43" s="183"/>
      <c r="AE43" s="183"/>
      <c r="AF43" s="183"/>
      <c r="AG43" s="183"/>
    </row>
    <row r="44" spans="1:33" x14ac:dyDescent="0.2">
      <c r="A44" s="184">
        <v>44</v>
      </c>
      <c r="B44" s="14" t="s">
        <v>158</v>
      </c>
      <c r="C44" s="1" t="s">
        <v>149</v>
      </c>
      <c r="D44" s="7">
        <f>D11</f>
        <v>788400</v>
      </c>
      <c r="E44" s="7">
        <f>$D$44</f>
        <v>788400</v>
      </c>
      <c r="F44" s="7">
        <f t="shared" ref="F44:AG44" si="23">$D$44</f>
        <v>788400</v>
      </c>
      <c r="G44" s="7">
        <f t="shared" si="23"/>
        <v>788400</v>
      </c>
      <c r="H44" s="7">
        <f t="shared" si="23"/>
        <v>788400</v>
      </c>
      <c r="I44" s="7">
        <f t="shared" si="23"/>
        <v>788400</v>
      </c>
      <c r="J44" s="7">
        <f t="shared" si="23"/>
        <v>788400</v>
      </c>
      <c r="K44" s="7">
        <f t="shared" si="23"/>
        <v>788400</v>
      </c>
      <c r="L44" s="7">
        <f t="shared" si="23"/>
        <v>788400</v>
      </c>
      <c r="M44" s="7">
        <f t="shared" si="23"/>
        <v>788400</v>
      </c>
      <c r="N44" s="7">
        <f t="shared" si="23"/>
        <v>788400</v>
      </c>
      <c r="O44" s="7">
        <f t="shared" si="23"/>
        <v>788400</v>
      </c>
      <c r="P44" s="7">
        <f t="shared" si="23"/>
        <v>788400</v>
      </c>
      <c r="Q44" s="7">
        <f t="shared" si="23"/>
        <v>788400</v>
      </c>
      <c r="R44" s="7">
        <f t="shared" si="23"/>
        <v>788400</v>
      </c>
      <c r="S44" s="7">
        <f t="shared" si="23"/>
        <v>788400</v>
      </c>
      <c r="T44" s="7">
        <f t="shared" si="23"/>
        <v>788400</v>
      </c>
      <c r="U44" s="7">
        <f t="shared" si="23"/>
        <v>788400</v>
      </c>
      <c r="V44" s="7">
        <f t="shared" si="23"/>
        <v>788400</v>
      </c>
      <c r="W44" s="7">
        <f t="shared" si="23"/>
        <v>788400</v>
      </c>
      <c r="X44" s="7">
        <f t="shared" si="23"/>
        <v>788400</v>
      </c>
      <c r="Y44" s="7">
        <f t="shared" si="23"/>
        <v>788400</v>
      </c>
      <c r="Z44" s="7">
        <f t="shared" si="23"/>
        <v>788400</v>
      </c>
      <c r="AA44" s="7">
        <f t="shared" si="23"/>
        <v>788400</v>
      </c>
      <c r="AB44" s="7">
        <f t="shared" si="23"/>
        <v>788400</v>
      </c>
      <c r="AC44" s="7">
        <f t="shared" si="23"/>
        <v>788400</v>
      </c>
      <c r="AD44" s="7">
        <f t="shared" si="23"/>
        <v>788400</v>
      </c>
      <c r="AE44" s="7">
        <f t="shared" si="23"/>
        <v>788400</v>
      </c>
      <c r="AF44" s="7">
        <f t="shared" si="23"/>
        <v>788400</v>
      </c>
      <c r="AG44" s="7">
        <f t="shared" si="23"/>
        <v>788400</v>
      </c>
    </row>
    <row r="45" spans="1:33" ht="15" x14ac:dyDescent="0.35">
      <c r="A45" s="184">
        <v>45</v>
      </c>
      <c r="B45" s="14" t="s">
        <v>157</v>
      </c>
      <c r="C45" s="1" t="s">
        <v>97</v>
      </c>
      <c r="D45" s="63">
        <f>D30</f>
        <v>788400</v>
      </c>
      <c r="E45" s="63">
        <f>E30</f>
        <v>788400</v>
      </c>
      <c r="F45" s="63">
        <f t="shared" ref="F45:AG45" si="24">F30</f>
        <v>788400</v>
      </c>
      <c r="G45" s="63">
        <f t="shared" si="24"/>
        <v>788400</v>
      </c>
      <c r="H45" s="63">
        <f t="shared" si="24"/>
        <v>788400</v>
      </c>
      <c r="I45" s="63">
        <f t="shared" si="24"/>
        <v>788400</v>
      </c>
      <c r="J45" s="63">
        <f t="shared" si="24"/>
        <v>788400</v>
      </c>
      <c r="K45" s="63">
        <f t="shared" si="24"/>
        <v>788400</v>
      </c>
      <c r="L45" s="63">
        <f t="shared" si="24"/>
        <v>788400</v>
      </c>
      <c r="M45" s="63">
        <f t="shared" si="24"/>
        <v>788400</v>
      </c>
      <c r="N45" s="63">
        <f t="shared" si="24"/>
        <v>788400</v>
      </c>
      <c r="O45" s="63">
        <f t="shared" si="24"/>
        <v>788400</v>
      </c>
      <c r="P45" s="63">
        <f t="shared" si="24"/>
        <v>788400</v>
      </c>
      <c r="Q45" s="63">
        <f t="shared" si="24"/>
        <v>788400</v>
      </c>
      <c r="R45" s="63">
        <f t="shared" si="24"/>
        <v>788400</v>
      </c>
      <c r="S45" s="63">
        <f t="shared" si="24"/>
        <v>788400</v>
      </c>
      <c r="T45" s="63">
        <f t="shared" si="24"/>
        <v>788400</v>
      </c>
      <c r="U45" s="63">
        <f t="shared" si="24"/>
        <v>788400</v>
      </c>
      <c r="V45" s="63">
        <f t="shared" si="24"/>
        <v>788400</v>
      </c>
      <c r="W45" s="63">
        <f t="shared" si="24"/>
        <v>788400</v>
      </c>
      <c r="X45" s="63">
        <f t="shared" si="24"/>
        <v>788400</v>
      </c>
      <c r="Y45" s="63">
        <f t="shared" si="24"/>
        <v>788400</v>
      </c>
      <c r="Z45" s="63">
        <f t="shared" si="24"/>
        <v>788400</v>
      </c>
      <c r="AA45" s="63">
        <f t="shared" si="24"/>
        <v>788400</v>
      </c>
      <c r="AB45" s="63">
        <f t="shared" si="24"/>
        <v>788400</v>
      </c>
      <c r="AC45" s="63">
        <f t="shared" si="24"/>
        <v>788400</v>
      </c>
      <c r="AD45" s="63">
        <f t="shared" si="24"/>
        <v>788400</v>
      </c>
      <c r="AE45" s="63">
        <f t="shared" si="24"/>
        <v>788400</v>
      </c>
      <c r="AF45" s="63">
        <f t="shared" si="24"/>
        <v>788400</v>
      </c>
      <c r="AG45" s="63">
        <f t="shared" si="24"/>
        <v>788400</v>
      </c>
    </row>
    <row r="46" spans="1:33" x14ac:dyDescent="0.2">
      <c r="A46" s="184">
        <v>46</v>
      </c>
      <c r="B46" s="14" t="s">
        <v>158</v>
      </c>
      <c r="C46" s="1" t="s">
        <v>150</v>
      </c>
      <c r="D46" s="10">
        <f>D44-D45</f>
        <v>0</v>
      </c>
      <c r="E46" s="10">
        <f t="shared" ref="E46:AG46" si="25">E44-E45</f>
        <v>0</v>
      </c>
      <c r="F46" s="10">
        <f t="shared" si="25"/>
        <v>0</v>
      </c>
      <c r="G46" s="10">
        <f t="shared" si="25"/>
        <v>0</v>
      </c>
      <c r="H46" s="10">
        <f t="shared" si="25"/>
        <v>0</v>
      </c>
      <c r="I46" s="10">
        <f t="shared" si="25"/>
        <v>0</v>
      </c>
      <c r="J46" s="10">
        <f t="shared" si="25"/>
        <v>0</v>
      </c>
      <c r="K46" s="10">
        <f t="shared" si="25"/>
        <v>0</v>
      </c>
      <c r="L46" s="10">
        <f t="shared" si="25"/>
        <v>0</v>
      </c>
      <c r="M46" s="10">
        <f t="shared" si="25"/>
        <v>0</v>
      </c>
      <c r="N46" s="10">
        <f t="shared" si="25"/>
        <v>0</v>
      </c>
      <c r="O46" s="10">
        <f t="shared" si="25"/>
        <v>0</v>
      </c>
      <c r="P46" s="10">
        <f t="shared" si="25"/>
        <v>0</v>
      </c>
      <c r="Q46" s="10">
        <f t="shared" si="25"/>
        <v>0</v>
      </c>
      <c r="R46" s="10">
        <f t="shared" si="25"/>
        <v>0</v>
      </c>
      <c r="S46" s="10">
        <f t="shared" si="25"/>
        <v>0</v>
      </c>
      <c r="T46" s="10">
        <f t="shared" si="25"/>
        <v>0</v>
      </c>
      <c r="U46" s="10">
        <f t="shared" si="25"/>
        <v>0</v>
      </c>
      <c r="V46" s="10">
        <f t="shared" si="25"/>
        <v>0</v>
      </c>
      <c r="W46" s="10">
        <f t="shared" si="25"/>
        <v>0</v>
      </c>
      <c r="X46" s="10">
        <f t="shared" si="25"/>
        <v>0</v>
      </c>
      <c r="Y46" s="10">
        <f t="shared" si="25"/>
        <v>0</v>
      </c>
      <c r="Z46" s="10">
        <f t="shared" si="25"/>
        <v>0</v>
      </c>
      <c r="AA46" s="10">
        <f t="shared" si="25"/>
        <v>0</v>
      </c>
      <c r="AB46" s="10">
        <f t="shared" si="25"/>
        <v>0</v>
      </c>
      <c r="AC46" s="10">
        <f t="shared" si="25"/>
        <v>0</v>
      </c>
      <c r="AD46" s="10">
        <f t="shared" si="25"/>
        <v>0</v>
      </c>
      <c r="AE46" s="10">
        <f t="shared" si="25"/>
        <v>0</v>
      </c>
      <c r="AF46" s="10">
        <f t="shared" si="25"/>
        <v>0</v>
      </c>
      <c r="AG46" s="10">
        <f t="shared" si="25"/>
        <v>0</v>
      </c>
    </row>
    <row r="47" spans="1:33" x14ac:dyDescent="0.2">
      <c r="A47" s="184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 x14ac:dyDescent="0.2">
      <c r="A48" s="184">
        <v>48</v>
      </c>
      <c r="B48" s="14">
        <f>MarketPriceGrowthRt</f>
        <v>2.5000000000000001E-2</v>
      </c>
      <c r="C48" s="1" t="s">
        <v>154</v>
      </c>
      <c r="D48" s="51">
        <f>MarketPriceofPower</f>
        <v>60</v>
      </c>
      <c r="E48" s="51">
        <f>$D$48*((1+$B$48)^D3)</f>
        <v>61.499999999999993</v>
      </c>
      <c r="F48" s="51">
        <f t="shared" ref="F48:AG48" si="26">$D$48*((1+$B$48)^E3)</f>
        <v>63.037499999999994</v>
      </c>
      <c r="G48" s="51">
        <f t="shared" si="26"/>
        <v>64.613437499999989</v>
      </c>
      <c r="H48" s="51">
        <f t="shared" si="26"/>
        <v>66.228773437499981</v>
      </c>
      <c r="I48" s="51">
        <f t="shared" si="26"/>
        <v>67.884492773437472</v>
      </c>
      <c r="J48" s="51">
        <f t="shared" si="26"/>
        <v>69.581605092773415</v>
      </c>
      <c r="K48" s="51">
        <f t="shared" si="26"/>
        <v>71.321145220092745</v>
      </c>
      <c r="L48" s="51">
        <f t="shared" si="26"/>
        <v>73.10417385059506</v>
      </c>
      <c r="M48" s="51">
        <f t="shared" si="26"/>
        <v>74.931778196859923</v>
      </c>
      <c r="N48" s="51">
        <f t="shared" si="26"/>
        <v>76.80507265178143</v>
      </c>
      <c r="O48" s="51">
        <f t="shared" si="26"/>
        <v>78.725199468075957</v>
      </c>
      <c r="P48" s="51">
        <f t="shared" si="26"/>
        <v>80.693329454777853</v>
      </c>
      <c r="Q48" s="51">
        <f t="shared" si="26"/>
        <v>82.710662691147292</v>
      </c>
      <c r="R48" s="51">
        <f t="shared" si="26"/>
        <v>84.778429258425973</v>
      </c>
      <c r="S48" s="51">
        <f t="shared" si="26"/>
        <v>86.897889989886636</v>
      </c>
      <c r="T48" s="51">
        <f t="shared" si="26"/>
        <v>89.070337239633787</v>
      </c>
      <c r="U48" s="51">
        <f t="shared" si="26"/>
        <v>91.297095670624614</v>
      </c>
      <c r="V48" s="51">
        <f t="shared" si="26"/>
        <v>93.579523062390237</v>
      </c>
      <c r="W48" s="51">
        <f t="shared" si="26"/>
        <v>95.919011138949998</v>
      </c>
      <c r="X48" s="51">
        <f t="shared" si="26"/>
        <v>98.316986417423735</v>
      </c>
      <c r="Y48" s="51">
        <f t="shared" si="26"/>
        <v>100.77491107785931</v>
      </c>
      <c r="Z48" s="51">
        <f t="shared" si="26"/>
        <v>103.2942838548058</v>
      </c>
      <c r="AA48" s="51">
        <f t="shared" si="26"/>
        <v>105.87664095117594</v>
      </c>
      <c r="AB48" s="51">
        <f t="shared" si="26"/>
        <v>108.52355697495534</v>
      </c>
      <c r="AC48" s="51">
        <f t="shared" si="26"/>
        <v>111.2366458993292</v>
      </c>
      <c r="AD48" s="51">
        <f t="shared" si="26"/>
        <v>114.01756204681243</v>
      </c>
      <c r="AE48" s="51">
        <f t="shared" si="26"/>
        <v>116.86800109798273</v>
      </c>
      <c r="AF48" s="51">
        <f t="shared" si="26"/>
        <v>119.78970112543229</v>
      </c>
      <c r="AG48" s="51">
        <f t="shared" si="26"/>
        <v>122.7844436535681</v>
      </c>
    </row>
    <row r="49" spans="1:33" ht="15" x14ac:dyDescent="0.35">
      <c r="A49" s="184">
        <v>49</v>
      </c>
      <c r="C49" s="1" t="s">
        <v>155</v>
      </c>
      <c r="D49" s="61">
        <f>D46</f>
        <v>0</v>
      </c>
      <c r="E49" s="61">
        <f>E46</f>
        <v>0</v>
      </c>
      <c r="F49" s="61">
        <f t="shared" ref="F49:AG49" si="27">F46</f>
        <v>0</v>
      </c>
      <c r="G49" s="61">
        <f t="shared" si="27"/>
        <v>0</v>
      </c>
      <c r="H49" s="61">
        <f t="shared" si="27"/>
        <v>0</v>
      </c>
      <c r="I49" s="61">
        <f t="shared" si="27"/>
        <v>0</v>
      </c>
      <c r="J49" s="61">
        <f t="shared" si="27"/>
        <v>0</v>
      </c>
      <c r="K49" s="61">
        <f t="shared" si="27"/>
        <v>0</v>
      </c>
      <c r="L49" s="61">
        <f t="shared" si="27"/>
        <v>0</v>
      </c>
      <c r="M49" s="61">
        <f t="shared" si="27"/>
        <v>0</v>
      </c>
      <c r="N49" s="61">
        <f t="shared" si="27"/>
        <v>0</v>
      </c>
      <c r="O49" s="61">
        <f t="shared" si="27"/>
        <v>0</v>
      </c>
      <c r="P49" s="61">
        <f t="shared" si="27"/>
        <v>0</v>
      </c>
      <c r="Q49" s="61">
        <f t="shared" si="27"/>
        <v>0</v>
      </c>
      <c r="R49" s="61">
        <f t="shared" si="27"/>
        <v>0</v>
      </c>
      <c r="S49" s="61">
        <f t="shared" si="27"/>
        <v>0</v>
      </c>
      <c r="T49" s="61">
        <f t="shared" si="27"/>
        <v>0</v>
      </c>
      <c r="U49" s="61">
        <f t="shared" si="27"/>
        <v>0</v>
      </c>
      <c r="V49" s="61">
        <f t="shared" si="27"/>
        <v>0</v>
      </c>
      <c r="W49" s="61">
        <f t="shared" si="27"/>
        <v>0</v>
      </c>
      <c r="X49" s="61">
        <f t="shared" si="27"/>
        <v>0</v>
      </c>
      <c r="Y49" s="61">
        <f t="shared" si="27"/>
        <v>0</v>
      </c>
      <c r="Z49" s="61">
        <f t="shared" si="27"/>
        <v>0</v>
      </c>
      <c r="AA49" s="61">
        <f t="shared" si="27"/>
        <v>0</v>
      </c>
      <c r="AB49" s="61">
        <f t="shared" si="27"/>
        <v>0</v>
      </c>
      <c r="AC49" s="61">
        <f t="shared" si="27"/>
        <v>0</v>
      </c>
      <c r="AD49" s="61">
        <f t="shared" si="27"/>
        <v>0</v>
      </c>
      <c r="AE49" s="61">
        <f t="shared" si="27"/>
        <v>0</v>
      </c>
      <c r="AF49" s="61">
        <f t="shared" si="27"/>
        <v>0</v>
      </c>
      <c r="AG49" s="61">
        <f t="shared" si="27"/>
        <v>0</v>
      </c>
    </row>
    <row r="50" spans="1:33" x14ac:dyDescent="0.2">
      <c r="A50" s="184">
        <v>50</v>
      </c>
      <c r="C50" s="1" t="s">
        <v>156</v>
      </c>
      <c r="D50" s="10">
        <f>D49*D48</f>
        <v>0</v>
      </c>
      <c r="E50" s="10">
        <f t="shared" ref="E50:AG50" si="28">E49*E48</f>
        <v>0</v>
      </c>
      <c r="F50" s="10">
        <f t="shared" si="28"/>
        <v>0</v>
      </c>
      <c r="G50" s="10">
        <f t="shared" si="28"/>
        <v>0</v>
      </c>
      <c r="H50" s="10">
        <f t="shared" si="28"/>
        <v>0</v>
      </c>
      <c r="I50" s="10">
        <f t="shared" si="28"/>
        <v>0</v>
      </c>
      <c r="J50" s="10">
        <f t="shared" si="28"/>
        <v>0</v>
      </c>
      <c r="K50" s="10">
        <f t="shared" si="28"/>
        <v>0</v>
      </c>
      <c r="L50" s="10">
        <f t="shared" si="28"/>
        <v>0</v>
      </c>
      <c r="M50" s="10">
        <f t="shared" si="28"/>
        <v>0</v>
      </c>
      <c r="N50" s="10">
        <f t="shared" si="28"/>
        <v>0</v>
      </c>
      <c r="O50" s="10">
        <f t="shared" si="28"/>
        <v>0</v>
      </c>
      <c r="P50" s="10">
        <f t="shared" si="28"/>
        <v>0</v>
      </c>
      <c r="Q50" s="10">
        <f t="shared" si="28"/>
        <v>0</v>
      </c>
      <c r="R50" s="10">
        <f t="shared" si="28"/>
        <v>0</v>
      </c>
      <c r="S50" s="10">
        <f t="shared" si="28"/>
        <v>0</v>
      </c>
      <c r="T50" s="10">
        <f t="shared" si="28"/>
        <v>0</v>
      </c>
      <c r="U50" s="10">
        <f t="shared" si="28"/>
        <v>0</v>
      </c>
      <c r="V50" s="10">
        <f t="shared" si="28"/>
        <v>0</v>
      </c>
      <c r="W50" s="10">
        <f t="shared" si="28"/>
        <v>0</v>
      </c>
      <c r="X50" s="10">
        <f t="shared" si="28"/>
        <v>0</v>
      </c>
      <c r="Y50" s="10">
        <f t="shared" si="28"/>
        <v>0</v>
      </c>
      <c r="Z50" s="10">
        <f t="shared" si="28"/>
        <v>0</v>
      </c>
      <c r="AA50" s="10">
        <f t="shared" si="28"/>
        <v>0</v>
      </c>
      <c r="AB50" s="10">
        <f t="shared" si="28"/>
        <v>0</v>
      </c>
      <c r="AC50" s="10">
        <f t="shared" si="28"/>
        <v>0</v>
      </c>
      <c r="AD50" s="10">
        <f t="shared" si="28"/>
        <v>0</v>
      </c>
      <c r="AE50" s="10">
        <f t="shared" si="28"/>
        <v>0</v>
      </c>
      <c r="AF50" s="10">
        <f t="shared" si="28"/>
        <v>0</v>
      </c>
      <c r="AG50" s="10">
        <f t="shared" si="28"/>
        <v>0</v>
      </c>
    </row>
    <row r="51" spans="1:33" x14ac:dyDescent="0.2">
      <c r="A51" s="18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x14ac:dyDescent="0.2">
      <c r="A52" s="184">
        <v>52</v>
      </c>
      <c r="C52" s="5" t="s">
        <v>174</v>
      </c>
      <c r="D52" s="41">
        <f>D50+D41</f>
        <v>105593500</v>
      </c>
      <c r="E52" s="41">
        <f t="shared" ref="E52:AG52" si="29">E50+E41</f>
        <v>106152295.34358972</v>
      </c>
      <c r="F52" s="41">
        <f t="shared" si="29"/>
        <v>106806470.82717946</v>
      </c>
      <c r="G52" s="41">
        <f t="shared" si="29"/>
        <v>107481862.87734614</v>
      </c>
      <c r="H52" s="41">
        <f t="shared" si="29"/>
        <v>108179003.54286954</v>
      </c>
      <c r="I52" s="41">
        <f t="shared" si="29"/>
        <v>108898438.22278742</v>
      </c>
      <c r="J52" s="41">
        <f t="shared" si="29"/>
        <v>109640726.00162314</v>
      </c>
      <c r="K52" s="41">
        <f t="shared" si="29"/>
        <v>110406439.99303797</v>
      </c>
      <c r="L52" s="41">
        <f t="shared" si="29"/>
        <v>111196167.69212043</v>
      </c>
      <c r="M52" s="41">
        <f t="shared" si="29"/>
        <v>112010511.33652945</v>
      </c>
      <c r="N52" s="41">
        <f t="shared" si="29"/>
        <v>112850088.27671443</v>
      </c>
      <c r="O52" s="41">
        <f t="shared" si="29"/>
        <v>113715531.35544051</v>
      </c>
      <c r="P52" s="41">
        <f t="shared" si="29"/>
        <v>114607489.29685313</v>
      </c>
      <c r="Q52" s="41">
        <f t="shared" si="29"/>
        <v>115526627.10532171</v>
      </c>
      <c r="R52" s="41">
        <f t="shared" si="29"/>
        <v>116473626.47430906</v>
      </c>
      <c r="S52" s="41">
        <f t="shared" si="29"/>
        <v>117449186.20551813</v>
      </c>
      <c r="T52" s="41">
        <f t="shared" si="29"/>
        <v>118454022.63857514</v>
      </c>
      <c r="U52" s="41">
        <f t="shared" si="29"/>
        <v>119488870.09151411</v>
      </c>
      <c r="V52" s="41">
        <f t="shared" si="29"/>
        <v>120554481.31233452</v>
      </c>
      <c r="W52" s="41">
        <f t="shared" si="29"/>
        <v>121651627.94191088</v>
      </c>
      <c r="X52" s="41">
        <f t="shared" si="29"/>
        <v>122781100.98853998</v>
      </c>
      <c r="Y52" s="41">
        <f t="shared" si="29"/>
        <v>123943711.31441823</v>
      </c>
      <c r="Z52" s="41">
        <f t="shared" si="29"/>
        <v>125140290.13435021</v>
      </c>
      <c r="AA52" s="41">
        <f t="shared" si="29"/>
        <v>126371689.52699517</v>
      </c>
      <c r="AB52" s="41">
        <f t="shared" si="29"/>
        <v>127638782.95896821</v>
      </c>
      <c r="AC52" s="41">
        <f t="shared" si="29"/>
        <v>128942465.8221186</v>
      </c>
      <c r="AD52" s="41">
        <f t="shared" si="29"/>
        <v>130283655.9843179</v>
      </c>
      <c r="AE52" s="41">
        <f t="shared" si="29"/>
        <v>131663294.35409722</v>
      </c>
      <c r="AF52" s="41">
        <f t="shared" si="29"/>
        <v>133082345.45948257</v>
      </c>
      <c r="AG52" s="41">
        <f t="shared" si="29"/>
        <v>134541798.04138571</v>
      </c>
    </row>
    <row r="53" spans="1:33" x14ac:dyDescent="0.2">
      <c r="A53" s="184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x14ac:dyDescent="0.2">
      <c r="A54" s="184"/>
      <c r="B54" s="6"/>
      <c r="C54" s="18" t="s">
        <v>196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1:33" x14ac:dyDescent="0.2">
      <c r="A55" s="184">
        <v>55</v>
      </c>
      <c r="B55" s="1" t="s">
        <v>152</v>
      </c>
      <c r="C55" s="1" t="s">
        <v>151</v>
      </c>
      <c r="D55" s="176">
        <f>'EQ BOOK DEPR'!F10/1000000</f>
        <v>400</v>
      </c>
      <c r="E55" s="176">
        <f>'EQ BOOK DEPR'!G10/1000000</f>
        <v>389.74358974358978</v>
      </c>
      <c r="F55" s="176">
        <f>'EQ BOOK DEPR'!H10/1000000</f>
        <v>382.4871794871795</v>
      </c>
      <c r="G55" s="176">
        <f>'EQ BOOK DEPR'!I10/1000000</f>
        <v>375.24384615384622</v>
      </c>
      <c r="H55" s="176">
        <f>'EQ BOOK DEPR'!J10/1000000</f>
        <v>368.01398205128208</v>
      </c>
      <c r="I55" s="176">
        <f>'EQ BOOK DEPR'!K10/1000000</f>
        <v>360.79799125641028</v>
      </c>
      <c r="J55" s="176">
        <f>'EQ BOOK DEPR'!L10/1000000</f>
        <v>353.59628996846158</v>
      </c>
      <c r="K55" s="176">
        <f>'EQ BOOK DEPR'!M10/1000000</f>
        <v>346.40930687264358</v>
      </c>
      <c r="L55" s="176">
        <f>'EQ BOOK DEPR'!N10/1000000</f>
        <v>339.23748351472034</v>
      </c>
      <c r="M55" s="176">
        <f>'EQ BOOK DEPR'!O10/1000000</f>
        <v>332.08127468682864</v>
      </c>
      <c r="N55" s="176">
        <f>'EQ BOOK DEPR'!P10/1000000</f>
        <v>324.9411488248694</v>
      </c>
      <c r="O55" s="176">
        <f>'EQ BOOK DEPR'!Q10/1000000</f>
        <v>317.81758841782062</v>
      </c>
      <c r="P55" s="176">
        <f>'EQ BOOK DEPR'!R10/1000000</f>
        <v>310.71109042932966</v>
      </c>
      <c r="Q55" s="176">
        <f>'EQ BOOK DEPR'!S10/1000000</f>
        <v>303.62216673195309</v>
      </c>
      <c r="R55" s="176">
        <f>'EQ BOOK DEPR'!T10/1000000</f>
        <v>296.55134455442453</v>
      </c>
      <c r="S55" s="176">
        <f>'EQ BOOK DEPR'!U10/1000000</f>
        <v>289.49916694233929</v>
      </c>
      <c r="T55" s="176">
        <f>'EQ BOOK DEPR'!V10/1000000</f>
        <v>282.46619323266077</v>
      </c>
      <c r="U55" s="176">
        <f>'EQ BOOK DEPR'!W10/1000000</f>
        <v>275.4529995424611</v>
      </c>
      <c r="V55" s="176">
        <f>'EQ BOOK DEPR'!X10/1000000</f>
        <v>268.46017927232469</v>
      </c>
      <c r="W55" s="176">
        <f>'EQ BOOK DEPR'!Y10/1000000</f>
        <v>261.48834362485337</v>
      </c>
      <c r="X55" s="176">
        <f>'EQ BOOK DEPR'!Z10/1000000</f>
        <v>254.53812213872718</v>
      </c>
      <c r="Y55" s="176">
        <f>'EQ BOOK DEPR'!AA10/1000000</f>
        <v>247.61016323878644</v>
      </c>
      <c r="Z55" s="176">
        <f>'EQ BOOK DEPR'!AB10/1000000</f>
        <v>240.7051348026167</v>
      </c>
      <c r="AA55" s="176">
        <f>'EQ BOOK DEPR'!AC10/1000000</f>
        <v>233.82372474413108</v>
      </c>
      <c r="AB55" s="176">
        <f>'EQ BOOK DEPR'!AD10/1000000</f>
        <v>226.96664161466015</v>
      </c>
      <c r="AC55" s="176">
        <f>'EQ BOOK DEPR'!AE10/1000000</f>
        <v>220.13461522207433</v>
      </c>
      <c r="AD55" s="176">
        <f>'EQ BOOK DEPR'!AF10/1000000</f>
        <v>213.32839726848016</v>
      </c>
      <c r="AE55" s="176">
        <f>'EQ BOOK DEPR'!AG10/1000000</f>
        <v>206.54876200704737</v>
      </c>
      <c r="AF55" s="176">
        <f>'EQ BOOK DEPR'!AH10/1000000</f>
        <v>199.79650691854087</v>
      </c>
      <c r="AG55" s="176">
        <f>'EQ BOOK DEPR'!AI10/1000000</f>
        <v>193.07245340814836</v>
      </c>
    </row>
    <row r="56" spans="1:33" x14ac:dyDescent="0.2">
      <c r="A56" s="184">
        <v>56</v>
      </c>
      <c r="B56" s="242">
        <f>(D56/1000000)/D55</f>
        <v>2.5000000000000001E-2</v>
      </c>
      <c r="C56" s="22" t="s">
        <v>43</v>
      </c>
      <c r="D56" s="194">
        <f>UpdatedTaxesMay</f>
        <v>10000000</v>
      </c>
      <c r="E56" s="7">
        <f>(E55*$B$56)*1000000</f>
        <v>9743589.743589744</v>
      </c>
      <c r="F56" s="7">
        <f t="shared" ref="F56:AG56" si="30">(F55*$B$56)*1000000</f>
        <v>9562179.4871794879</v>
      </c>
      <c r="G56" s="7">
        <f t="shared" si="30"/>
        <v>9381096.1538461559</v>
      </c>
      <c r="H56" s="7">
        <f t="shared" si="30"/>
        <v>9200349.551282052</v>
      </c>
      <c r="I56" s="7">
        <f t="shared" si="30"/>
        <v>9019949.7814102583</v>
      </c>
      <c r="J56" s="7">
        <f t="shared" si="30"/>
        <v>8839907.2492115404</v>
      </c>
      <c r="K56" s="7">
        <f t="shared" si="30"/>
        <v>8660232.6718160901</v>
      </c>
      <c r="L56" s="7">
        <f t="shared" si="30"/>
        <v>8480937.0878680088</v>
      </c>
      <c r="M56" s="7">
        <f t="shared" si="30"/>
        <v>8302031.8671707166</v>
      </c>
      <c r="N56" s="7">
        <f t="shared" si="30"/>
        <v>8123528.7206217349</v>
      </c>
      <c r="O56" s="7">
        <f t="shared" si="30"/>
        <v>7945439.7104455158</v>
      </c>
      <c r="P56" s="7">
        <f t="shared" si="30"/>
        <v>7767777.2607332421</v>
      </c>
      <c r="Q56" s="7">
        <f t="shared" si="30"/>
        <v>7590554.1682988275</v>
      </c>
      <c r="R56" s="7">
        <f t="shared" si="30"/>
        <v>7413783.6138606137</v>
      </c>
      <c r="S56" s="7">
        <f t="shared" si="30"/>
        <v>7237479.1735584829</v>
      </c>
      <c r="T56" s="7">
        <f t="shared" si="30"/>
        <v>7061654.8308165194</v>
      </c>
      <c r="U56" s="7">
        <f t="shared" si="30"/>
        <v>6886324.9885615278</v>
      </c>
      <c r="V56" s="7">
        <f t="shared" si="30"/>
        <v>6711504.4818081176</v>
      </c>
      <c r="W56" s="7">
        <f t="shared" si="30"/>
        <v>6537208.5906213345</v>
      </c>
      <c r="X56" s="7">
        <f t="shared" si="30"/>
        <v>6363453.0534681799</v>
      </c>
      <c r="Y56" s="7">
        <f t="shared" si="30"/>
        <v>6190254.0809696615</v>
      </c>
      <c r="Z56" s="7">
        <f t="shared" si="30"/>
        <v>6017628.3700654181</v>
      </c>
      <c r="AA56" s="7">
        <f t="shared" si="30"/>
        <v>5845593.118603277</v>
      </c>
      <c r="AB56" s="7">
        <f t="shared" si="30"/>
        <v>5674166.0403665043</v>
      </c>
      <c r="AC56" s="7">
        <f t="shared" si="30"/>
        <v>5503365.3805518588</v>
      </c>
      <c r="AD56" s="7">
        <f t="shared" si="30"/>
        <v>5333209.9317120044</v>
      </c>
      <c r="AE56" s="7">
        <f t="shared" si="30"/>
        <v>5163719.0501761846</v>
      </c>
      <c r="AF56" s="7">
        <f t="shared" si="30"/>
        <v>4994912.6729635224</v>
      </c>
      <c r="AG56" s="7">
        <f t="shared" si="30"/>
        <v>4826811.3352037091</v>
      </c>
    </row>
    <row r="57" spans="1:33" x14ac:dyDescent="0.2">
      <c r="A57" s="184">
        <v>57</v>
      </c>
      <c r="C57" s="1" t="s">
        <v>172</v>
      </c>
      <c r="D57" s="51">
        <f t="shared" ref="D57:AG57" si="31">D56/D11</f>
        <v>12.683916793505835</v>
      </c>
      <c r="E57" s="51">
        <f t="shared" si="31"/>
        <v>12.358688157774916</v>
      </c>
      <c r="F57" s="51">
        <f t="shared" si="31"/>
        <v>12.128588897995291</v>
      </c>
      <c r="G57" s="51">
        <f t="shared" si="31"/>
        <v>11.898904304726225</v>
      </c>
      <c r="H57" s="51">
        <f t="shared" si="31"/>
        <v>11.669646817963029</v>
      </c>
      <c r="I57" s="51">
        <f t="shared" si="31"/>
        <v>11.440829250900885</v>
      </c>
      <c r="J57" s="51">
        <f t="shared" si="31"/>
        <v>11.212464801130823</v>
      </c>
      <c r="K57" s="51">
        <f t="shared" si="31"/>
        <v>10.984567062171601</v>
      </c>
      <c r="L57" s="51">
        <f t="shared" si="31"/>
        <v>10.75715003534755</v>
      </c>
      <c r="M57" s="51">
        <f t="shared" si="31"/>
        <v>10.530228142022725</v>
      </c>
      <c r="N57" s="51">
        <f t="shared" si="31"/>
        <v>10.303816236202099</v>
      </c>
      <c r="O57" s="51">
        <f t="shared" si="31"/>
        <v>10.077929617510801</v>
      </c>
      <c r="P57" s="51">
        <f t="shared" si="31"/>
        <v>9.8525840445627129</v>
      </c>
      <c r="Q57" s="51">
        <f t="shared" si="31"/>
        <v>9.6277957487301205</v>
      </c>
      <c r="R57" s="51">
        <f t="shared" si="31"/>
        <v>9.4035814483265021</v>
      </c>
      <c r="S57" s="51">
        <f t="shared" si="31"/>
        <v>9.1799583632147161</v>
      </c>
      <c r="T57" s="51">
        <f t="shared" si="31"/>
        <v>8.9569442298535247</v>
      </c>
      <c r="U57" s="51">
        <f t="shared" si="31"/>
        <v>8.7345573167954438</v>
      </c>
      <c r="V57" s="51">
        <f t="shared" si="31"/>
        <v>8.5128164406495657</v>
      </c>
      <c r="W57" s="51">
        <f t="shared" si="31"/>
        <v>8.2917409825232546</v>
      </c>
      <c r="X57" s="51">
        <f t="shared" si="31"/>
        <v>8.0713509049571037</v>
      </c>
      <c r="Y57" s="51">
        <f t="shared" si="31"/>
        <v>7.8516667693679114</v>
      </c>
      <c r="Z57" s="51">
        <f t="shared" si="31"/>
        <v>7.6327097540149902</v>
      </c>
      <c r="AA57" s="51">
        <f t="shared" si="31"/>
        <v>7.4145016725054251</v>
      </c>
      <c r="AB57" s="51">
        <f t="shared" si="31"/>
        <v>7.1970649928545214</v>
      </c>
      <c r="AC57" s="51">
        <f t="shared" si="31"/>
        <v>6.9804228571180351</v>
      </c>
      <c r="AD57" s="51">
        <f t="shared" si="31"/>
        <v>6.7645991016133999</v>
      </c>
      <c r="AE57" s="51">
        <f t="shared" si="31"/>
        <v>6.5496182777475704</v>
      </c>
      <c r="AF57" s="51">
        <f t="shared" si="31"/>
        <v>6.3355056734697142</v>
      </c>
      <c r="AG57" s="51">
        <f t="shared" si="31"/>
        <v>6.1222873353674645</v>
      </c>
    </row>
    <row r="58" spans="1:33" x14ac:dyDescent="0.2">
      <c r="A58" s="184">
        <v>58</v>
      </c>
      <c r="C58" s="1" t="s">
        <v>173</v>
      </c>
      <c r="D58" s="51">
        <f t="shared" ref="D58:AG58" si="32">D56/D30</f>
        <v>12.683916793505835</v>
      </c>
      <c r="E58" s="51">
        <f t="shared" si="32"/>
        <v>12.358688157774916</v>
      </c>
      <c r="F58" s="51">
        <f t="shared" si="32"/>
        <v>12.128588897995291</v>
      </c>
      <c r="G58" s="51">
        <f t="shared" si="32"/>
        <v>11.898904304726225</v>
      </c>
      <c r="H58" s="51">
        <f t="shared" si="32"/>
        <v>11.669646817963029</v>
      </c>
      <c r="I58" s="51">
        <f t="shared" si="32"/>
        <v>11.440829250900885</v>
      </c>
      <c r="J58" s="51">
        <f t="shared" si="32"/>
        <v>11.212464801130823</v>
      </c>
      <c r="K58" s="51">
        <f t="shared" si="32"/>
        <v>10.984567062171601</v>
      </c>
      <c r="L58" s="51">
        <f t="shared" si="32"/>
        <v>10.75715003534755</v>
      </c>
      <c r="M58" s="51">
        <f t="shared" si="32"/>
        <v>10.530228142022725</v>
      </c>
      <c r="N58" s="51">
        <f t="shared" si="32"/>
        <v>10.303816236202099</v>
      </c>
      <c r="O58" s="51">
        <f t="shared" si="32"/>
        <v>10.077929617510801</v>
      </c>
      <c r="P58" s="51">
        <f t="shared" si="32"/>
        <v>9.8525840445627129</v>
      </c>
      <c r="Q58" s="51">
        <f t="shared" si="32"/>
        <v>9.6277957487301205</v>
      </c>
      <c r="R58" s="51">
        <f t="shared" si="32"/>
        <v>9.4035814483265021</v>
      </c>
      <c r="S58" s="51">
        <f t="shared" si="32"/>
        <v>9.1799583632147161</v>
      </c>
      <c r="T58" s="51">
        <f t="shared" si="32"/>
        <v>8.9569442298535247</v>
      </c>
      <c r="U58" s="51">
        <f t="shared" si="32"/>
        <v>8.7345573167954438</v>
      </c>
      <c r="V58" s="51">
        <f t="shared" si="32"/>
        <v>8.5128164406495657</v>
      </c>
      <c r="W58" s="51">
        <f t="shared" si="32"/>
        <v>8.2917409825232546</v>
      </c>
      <c r="X58" s="51">
        <f t="shared" si="32"/>
        <v>8.0713509049571037</v>
      </c>
      <c r="Y58" s="51">
        <f t="shared" si="32"/>
        <v>7.8516667693679114</v>
      </c>
      <c r="Z58" s="51">
        <f t="shared" si="32"/>
        <v>7.6327097540149902</v>
      </c>
      <c r="AA58" s="51">
        <f t="shared" si="32"/>
        <v>7.4145016725054251</v>
      </c>
      <c r="AB58" s="51">
        <f t="shared" si="32"/>
        <v>7.1970649928545214</v>
      </c>
      <c r="AC58" s="51">
        <f t="shared" si="32"/>
        <v>6.9804228571180351</v>
      </c>
      <c r="AD58" s="51">
        <f t="shared" si="32"/>
        <v>6.7645991016133999</v>
      </c>
      <c r="AE58" s="51">
        <f t="shared" si="32"/>
        <v>6.5496182777475704</v>
      </c>
      <c r="AF58" s="51">
        <f t="shared" si="32"/>
        <v>6.3355056734697142</v>
      </c>
      <c r="AG58" s="51">
        <f t="shared" si="32"/>
        <v>6.1222873353674645</v>
      </c>
    </row>
  </sheetData>
  <mergeCells count="2">
    <mergeCell ref="B21:B22"/>
    <mergeCell ref="B7:B8"/>
  </mergeCells>
  <printOptions horizontalCentered="1"/>
  <pageMargins left="0.45" right="0.45" top="0.75" bottom="0.5" header="0.3" footer="0.3"/>
  <pageSetup scale="96" pageOrder="overThenDown" orientation="landscape" horizontalDpi="1200" verticalDpi="1200" r:id="rId1"/>
  <headerFooter>
    <oddHeader>&amp;CDraft Current PPA Cost
As of Thursday, September 19, 2013</oddHeader>
    <oddFooter>&amp;CDraft Current PPA Cost, As of Thursday, September 19, 2013, Page  &amp;P</oddFooter>
  </headerFooter>
  <rowBreaks count="1" manualBreakCount="1">
    <brk id="24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AJ29"/>
  <sheetViews>
    <sheetView zoomScaleNormal="100" workbookViewId="0"/>
  </sheetViews>
  <sheetFormatPr defaultRowHeight="12.75" x14ac:dyDescent="0.2"/>
  <cols>
    <col min="1" max="1" width="15.33203125" style="2" bestFit="1" customWidth="1"/>
    <col min="2" max="2" width="30.33203125" style="1" customWidth="1"/>
    <col min="3" max="3" width="32.83203125" style="1" customWidth="1"/>
    <col min="4" max="33" width="14.83203125" style="1" customWidth="1"/>
    <col min="34" max="34" width="12.83203125" style="1" customWidth="1"/>
    <col min="35" max="16384" width="9.33203125" style="1"/>
  </cols>
  <sheetData>
    <row r="1" spans="1:35" x14ac:dyDescent="0.2">
      <c r="B1" s="7"/>
    </row>
    <row r="2" spans="1:35" x14ac:dyDescent="0.2">
      <c r="A2" s="67"/>
      <c r="B2" s="7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5" ht="15.75" x14ac:dyDescent="0.25">
      <c r="A3" s="67"/>
      <c r="B3" s="194"/>
      <c r="C3" s="9" t="s">
        <v>52</v>
      </c>
      <c r="H3" s="9"/>
      <c r="J3" s="5" t="str">
        <f>C3</f>
        <v>Prepayment Calculation</v>
      </c>
      <c r="P3" s="9"/>
      <c r="S3" s="5" t="str">
        <f>C3</f>
        <v>Prepayment Calculation</v>
      </c>
      <c r="W3" s="9"/>
      <c r="X3" s="9"/>
      <c r="Z3" s="5" t="str">
        <f>J3</f>
        <v>Prepayment Calculation</v>
      </c>
      <c r="AE3" s="9"/>
    </row>
    <row r="4" spans="1:35" x14ac:dyDescent="0.2">
      <c r="B4" s="194"/>
      <c r="C4" s="23" t="s">
        <v>12</v>
      </c>
      <c r="D4" s="24">
        <v>1</v>
      </c>
      <c r="E4" s="24">
        <f>+D4+1</f>
        <v>2</v>
      </c>
      <c r="F4" s="24">
        <f t="shared" ref="F4:U5" si="0">+E4+1</f>
        <v>3</v>
      </c>
      <c r="G4" s="24">
        <f t="shared" si="0"/>
        <v>4</v>
      </c>
      <c r="H4" s="24">
        <f t="shared" si="0"/>
        <v>5</v>
      </c>
      <c r="I4" s="24">
        <f t="shared" si="0"/>
        <v>6</v>
      </c>
      <c r="J4" s="24">
        <f t="shared" si="0"/>
        <v>7</v>
      </c>
      <c r="K4" s="24">
        <f t="shared" si="0"/>
        <v>8</v>
      </c>
      <c r="L4" s="24">
        <f t="shared" si="0"/>
        <v>9</v>
      </c>
      <c r="M4" s="24">
        <f t="shared" si="0"/>
        <v>10</v>
      </c>
      <c r="N4" s="24">
        <f t="shared" si="0"/>
        <v>11</v>
      </c>
      <c r="O4" s="24">
        <f t="shared" si="0"/>
        <v>12</v>
      </c>
      <c r="P4" s="24">
        <f t="shared" si="0"/>
        <v>13</v>
      </c>
      <c r="Q4" s="24">
        <f t="shared" si="0"/>
        <v>14</v>
      </c>
      <c r="R4" s="24">
        <f t="shared" si="0"/>
        <v>15</v>
      </c>
      <c r="S4" s="24">
        <f t="shared" si="0"/>
        <v>16</v>
      </c>
      <c r="T4" s="24">
        <f t="shared" si="0"/>
        <v>17</v>
      </c>
      <c r="U4" s="24">
        <f t="shared" si="0"/>
        <v>18</v>
      </c>
      <c r="V4" s="24">
        <f t="shared" ref="V4:AF5" si="1">+U4+1</f>
        <v>19</v>
      </c>
      <c r="W4" s="24">
        <f t="shared" si="1"/>
        <v>20</v>
      </c>
      <c r="X4" s="24">
        <f t="shared" si="1"/>
        <v>21</v>
      </c>
      <c r="Y4" s="24">
        <f t="shared" si="1"/>
        <v>22</v>
      </c>
      <c r="Z4" s="24">
        <f t="shared" si="1"/>
        <v>23</v>
      </c>
      <c r="AA4" s="24">
        <f t="shared" si="1"/>
        <v>24</v>
      </c>
      <c r="AB4" s="24">
        <f t="shared" si="1"/>
        <v>25</v>
      </c>
      <c r="AC4" s="24">
        <f t="shared" si="1"/>
        <v>26</v>
      </c>
      <c r="AD4" s="24">
        <f t="shared" si="1"/>
        <v>27</v>
      </c>
      <c r="AE4" s="24">
        <f t="shared" si="1"/>
        <v>28</v>
      </c>
      <c r="AF4" s="24">
        <f t="shared" si="1"/>
        <v>29</v>
      </c>
      <c r="AG4" s="24">
        <f>+AF4+1</f>
        <v>30</v>
      </c>
    </row>
    <row r="5" spans="1:35" x14ac:dyDescent="0.2">
      <c r="A5" s="184" t="s">
        <v>142</v>
      </c>
      <c r="B5" s="194"/>
      <c r="C5" s="23" t="s">
        <v>29</v>
      </c>
      <c r="D5" s="24">
        <v>2014</v>
      </c>
      <c r="E5" s="24">
        <f>+D5+1</f>
        <v>2015</v>
      </c>
      <c r="F5" s="24">
        <f t="shared" si="0"/>
        <v>2016</v>
      </c>
      <c r="G5" s="24">
        <f t="shared" si="0"/>
        <v>2017</v>
      </c>
      <c r="H5" s="24">
        <f t="shared" si="0"/>
        <v>2018</v>
      </c>
      <c r="I5" s="24">
        <f t="shared" si="0"/>
        <v>2019</v>
      </c>
      <c r="J5" s="24">
        <f t="shared" si="0"/>
        <v>2020</v>
      </c>
      <c r="K5" s="24">
        <f t="shared" si="0"/>
        <v>2021</v>
      </c>
      <c r="L5" s="24">
        <f t="shared" si="0"/>
        <v>2022</v>
      </c>
      <c r="M5" s="24">
        <f t="shared" si="0"/>
        <v>2023</v>
      </c>
      <c r="N5" s="24">
        <f t="shared" si="0"/>
        <v>2024</v>
      </c>
      <c r="O5" s="24">
        <f t="shared" si="0"/>
        <v>2025</v>
      </c>
      <c r="P5" s="24">
        <f t="shared" si="0"/>
        <v>2026</v>
      </c>
      <c r="Q5" s="24">
        <f t="shared" si="0"/>
        <v>2027</v>
      </c>
      <c r="R5" s="24">
        <f t="shared" si="0"/>
        <v>2028</v>
      </c>
      <c r="S5" s="24">
        <f t="shared" si="0"/>
        <v>2029</v>
      </c>
      <c r="T5" s="24">
        <f t="shared" si="0"/>
        <v>2030</v>
      </c>
      <c r="U5" s="24">
        <f t="shared" si="0"/>
        <v>2031</v>
      </c>
      <c r="V5" s="24">
        <f t="shared" si="1"/>
        <v>2032</v>
      </c>
      <c r="W5" s="24">
        <f t="shared" si="1"/>
        <v>2033</v>
      </c>
      <c r="X5" s="24">
        <f t="shared" si="1"/>
        <v>2034</v>
      </c>
      <c r="Y5" s="24">
        <f t="shared" si="1"/>
        <v>2035</v>
      </c>
      <c r="Z5" s="24">
        <f t="shared" si="1"/>
        <v>2036</v>
      </c>
      <c r="AA5" s="24">
        <f t="shared" si="1"/>
        <v>2037</v>
      </c>
      <c r="AB5" s="24">
        <f t="shared" si="1"/>
        <v>2038</v>
      </c>
      <c r="AC5" s="24">
        <f t="shared" si="1"/>
        <v>2039</v>
      </c>
      <c r="AD5" s="24">
        <f t="shared" si="1"/>
        <v>2040</v>
      </c>
      <c r="AE5" s="24">
        <f t="shared" si="1"/>
        <v>2041</v>
      </c>
      <c r="AF5" s="24">
        <f t="shared" si="1"/>
        <v>2042</v>
      </c>
      <c r="AG5" s="24">
        <f>+AF5+1</f>
        <v>2043</v>
      </c>
    </row>
    <row r="6" spans="1:35" ht="3.95" customHeight="1" x14ac:dyDescent="0.2">
      <c r="B6" s="2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x14ac:dyDescent="0.2">
      <c r="A7" s="184">
        <v>7</v>
      </c>
      <c r="B7" s="22"/>
      <c r="C7" s="18" t="s">
        <v>4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5" x14ac:dyDescent="0.2">
      <c r="A8" s="184">
        <v>8</v>
      </c>
      <c r="B8" s="268"/>
      <c r="C8" s="275" t="s">
        <v>1</v>
      </c>
      <c r="D8" s="276">
        <f>ScenarioCapacity</f>
        <v>100</v>
      </c>
      <c r="E8" s="73">
        <f>'Inputs '!$C$40</f>
        <v>100</v>
      </c>
      <c r="F8" s="73">
        <f>'Inputs '!$C$40</f>
        <v>100</v>
      </c>
      <c r="G8" s="73">
        <f>'Inputs '!$C$40</f>
        <v>100</v>
      </c>
      <c r="H8" s="73">
        <f>'Inputs '!$C$40</f>
        <v>100</v>
      </c>
      <c r="I8" s="73">
        <f>'Inputs '!$C$40</f>
        <v>100</v>
      </c>
      <c r="J8" s="73">
        <f>'Inputs '!$C$40</f>
        <v>100</v>
      </c>
      <c r="K8" s="73">
        <f>'Inputs '!$C$40</f>
        <v>100</v>
      </c>
      <c r="L8" s="73">
        <f>'Inputs '!$C$40</f>
        <v>100</v>
      </c>
      <c r="M8" s="73">
        <f>'Inputs '!$C$40</f>
        <v>100</v>
      </c>
      <c r="N8" s="73">
        <f>'Inputs '!$C$40</f>
        <v>100</v>
      </c>
      <c r="O8" s="73">
        <f>'Inputs '!$C$40</f>
        <v>100</v>
      </c>
      <c r="P8" s="73">
        <f>'Inputs '!$C$40</f>
        <v>100</v>
      </c>
      <c r="Q8" s="73">
        <f>'Inputs '!$C$40</f>
        <v>100</v>
      </c>
      <c r="R8" s="73">
        <f>'Inputs '!$C$40</f>
        <v>100</v>
      </c>
      <c r="S8" s="73">
        <f>'Inputs '!$C$40</f>
        <v>100</v>
      </c>
      <c r="T8" s="73">
        <f>'Inputs '!$C$40</f>
        <v>100</v>
      </c>
      <c r="U8" s="73">
        <f>'Inputs '!$C$40</f>
        <v>100</v>
      </c>
      <c r="V8" s="73">
        <f>'Inputs '!$C$40</f>
        <v>100</v>
      </c>
      <c r="W8" s="73">
        <f>'Inputs '!$C$40</f>
        <v>100</v>
      </c>
      <c r="X8" s="73">
        <f>'Inputs '!$C$40</f>
        <v>100</v>
      </c>
      <c r="Y8" s="73">
        <f>'Inputs '!$C$40</f>
        <v>100</v>
      </c>
      <c r="Z8" s="73">
        <f>'Inputs '!$C$40</f>
        <v>100</v>
      </c>
      <c r="AA8" s="73">
        <f>'Inputs '!$C$40</f>
        <v>100</v>
      </c>
      <c r="AB8" s="73">
        <f>'Inputs '!$C$40</f>
        <v>100</v>
      </c>
      <c r="AC8" s="73">
        <f>'Inputs '!$C$40</f>
        <v>100</v>
      </c>
      <c r="AD8" s="73">
        <f>'Inputs '!$C$40</f>
        <v>100</v>
      </c>
      <c r="AE8" s="73">
        <f>'Inputs '!$C$40</f>
        <v>100</v>
      </c>
      <c r="AF8" s="73">
        <f>'Inputs '!$C$40</f>
        <v>100</v>
      </c>
      <c r="AG8" s="276">
        <f>'Inputs '!$C$40</f>
        <v>100</v>
      </c>
      <c r="AH8" s="22"/>
      <c r="AI8" s="22"/>
    </row>
    <row r="9" spans="1:35" x14ac:dyDescent="0.2">
      <c r="A9" s="184">
        <v>9</v>
      </c>
      <c r="B9" s="269"/>
      <c r="C9" s="275" t="s">
        <v>167</v>
      </c>
      <c r="D9" s="277">
        <f>ScenarioAvailability</f>
        <v>0.9</v>
      </c>
      <c r="E9" s="13">
        <f>$D$9</f>
        <v>0.9</v>
      </c>
      <c r="F9" s="13">
        <f t="shared" ref="F9:AG9" si="2">$D$9</f>
        <v>0.9</v>
      </c>
      <c r="G9" s="13">
        <f t="shared" si="2"/>
        <v>0.9</v>
      </c>
      <c r="H9" s="13">
        <f t="shared" si="2"/>
        <v>0.9</v>
      </c>
      <c r="I9" s="13">
        <f t="shared" si="2"/>
        <v>0.9</v>
      </c>
      <c r="J9" s="13">
        <f t="shared" si="2"/>
        <v>0.9</v>
      </c>
      <c r="K9" s="13">
        <f t="shared" si="2"/>
        <v>0.9</v>
      </c>
      <c r="L9" s="13">
        <f t="shared" si="2"/>
        <v>0.9</v>
      </c>
      <c r="M9" s="13">
        <f t="shared" si="2"/>
        <v>0.9</v>
      </c>
      <c r="N9" s="13">
        <f t="shared" si="2"/>
        <v>0.9</v>
      </c>
      <c r="O9" s="13">
        <f t="shared" si="2"/>
        <v>0.9</v>
      </c>
      <c r="P9" s="13">
        <f t="shared" si="2"/>
        <v>0.9</v>
      </c>
      <c r="Q9" s="13">
        <f t="shared" si="2"/>
        <v>0.9</v>
      </c>
      <c r="R9" s="13">
        <f t="shared" si="2"/>
        <v>0.9</v>
      </c>
      <c r="S9" s="13">
        <f t="shared" si="2"/>
        <v>0.9</v>
      </c>
      <c r="T9" s="13">
        <f t="shared" si="2"/>
        <v>0.9</v>
      </c>
      <c r="U9" s="13">
        <f t="shared" si="2"/>
        <v>0.9</v>
      </c>
      <c r="V9" s="13">
        <f t="shared" si="2"/>
        <v>0.9</v>
      </c>
      <c r="W9" s="13">
        <f t="shared" si="2"/>
        <v>0.9</v>
      </c>
      <c r="X9" s="13">
        <f t="shared" si="2"/>
        <v>0.9</v>
      </c>
      <c r="Y9" s="13">
        <f t="shared" si="2"/>
        <v>0.9</v>
      </c>
      <c r="Z9" s="13">
        <f t="shared" si="2"/>
        <v>0.9</v>
      </c>
      <c r="AA9" s="13">
        <f t="shared" si="2"/>
        <v>0.9</v>
      </c>
      <c r="AB9" s="13">
        <f t="shared" si="2"/>
        <v>0.9</v>
      </c>
      <c r="AC9" s="13">
        <f t="shared" si="2"/>
        <v>0.9</v>
      </c>
      <c r="AD9" s="13">
        <f t="shared" si="2"/>
        <v>0.9</v>
      </c>
      <c r="AE9" s="13">
        <f t="shared" si="2"/>
        <v>0.9</v>
      </c>
      <c r="AF9" s="13">
        <f t="shared" si="2"/>
        <v>0.9</v>
      </c>
      <c r="AG9" s="277">
        <f t="shared" si="2"/>
        <v>0.9</v>
      </c>
      <c r="AH9" s="22"/>
      <c r="AI9" s="22"/>
    </row>
    <row r="10" spans="1:35" x14ac:dyDescent="0.2">
      <c r="A10" s="184">
        <v>10</v>
      </c>
      <c r="B10" s="270"/>
      <c r="C10" s="22" t="s">
        <v>89</v>
      </c>
      <c r="D10" s="278">
        <f>D8*D9*24*365</f>
        <v>788400</v>
      </c>
      <c r="E10" s="81">
        <f t="shared" ref="E10:AG10" si="3">E8*E9*24*365</f>
        <v>788400</v>
      </c>
      <c r="F10" s="81">
        <f t="shared" si="3"/>
        <v>788400</v>
      </c>
      <c r="G10" s="81">
        <f t="shared" si="3"/>
        <v>788400</v>
      </c>
      <c r="H10" s="81">
        <f t="shared" si="3"/>
        <v>788400</v>
      </c>
      <c r="I10" s="81">
        <f t="shared" si="3"/>
        <v>788400</v>
      </c>
      <c r="J10" s="81">
        <f t="shared" si="3"/>
        <v>788400</v>
      </c>
      <c r="K10" s="81">
        <f t="shared" si="3"/>
        <v>788400</v>
      </c>
      <c r="L10" s="81">
        <f t="shared" si="3"/>
        <v>788400</v>
      </c>
      <c r="M10" s="81">
        <f t="shared" si="3"/>
        <v>788400</v>
      </c>
      <c r="N10" s="81">
        <f t="shared" si="3"/>
        <v>788400</v>
      </c>
      <c r="O10" s="81">
        <f t="shared" si="3"/>
        <v>788400</v>
      </c>
      <c r="P10" s="81">
        <f t="shared" si="3"/>
        <v>788400</v>
      </c>
      <c r="Q10" s="81">
        <f t="shared" si="3"/>
        <v>788400</v>
      </c>
      <c r="R10" s="81">
        <f t="shared" si="3"/>
        <v>788400</v>
      </c>
      <c r="S10" s="81">
        <f t="shared" si="3"/>
        <v>788400</v>
      </c>
      <c r="T10" s="81">
        <f t="shared" si="3"/>
        <v>788400</v>
      </c>
      <c r="U10" s="81">
        <f t="shared" si="3"/>
        <v>788400</v>
      </c>
      <c r="V10" s="81">
        <f t="shared" si="3"/>
        <v>788400</v>
      </c>
      <c r="W10" s="81">
        <f t="shared" si="3"/>
        <v>788400</v>
      </c>
      <c r="X10" s="81">
        <f t="shared" si="3"/>
        <v>788400</v>
      </c>
      <c r="Y10" s="81">
        <f t="shared" si="3"/>
        <v>788400</v>
      </c>
      <c r="Z10" s="81">
        <f t="shared" si="3"/>
        <v>788400</v>
      </c>
      <c r="AA10" s="81">
        <f t="shared" si="3"/>
        <v>788400</v>
      </c>
      <c r="AB10" s="81">
        <f t="shared" si="3"/>
        <v>788400</v>
      </c>
      <c r="AC10" s="81">
        <f t="shared" si="3"/>
        <v>788400</v>
      </c>
      <c r="AD10" s="81">
        <f t="shared" si="3"/>
        <v>788400</v>
      </c>
      <c r="AE10" s="81">
        <f t="shared" si="3"/>
        <v>788400</v>
      </c>
      <c r="AF10" s="81">
        <f t="shared" si="3"/>
        <v>788400</v>
      </c>
      <c r="AG10" s="278">
        <f t="shared" si="3"/>
        <v>788400</v>
      </c>
      <c r="AH10" s="22"/>
      <c r="AI10" s="22"/>
    </row>
    <row r="11" spans="1:35" x14ac:dyDescent="0.2">
      <c r="A11" s="184">
        <v>11</v>
      </c>
      <c r="B11" s="271" t="s">
        <v>214</v>
      </c>
      <c r="C11" s="22"/>
      <c r="D11" s="278"/>
      <c r="E11" s="46">
        <v>-1.4E-2</v>
      </c>
      <c r="F11" s="46">
        <v>-1.2500000000000001E-2</v>
      </c>
      <c r="G11" s="46">
        <v>-0.01</v>
      </c>
      <c r="H11" s="46">
        <v>-0.01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278"/>
      <c r="AH11" s="22"/>
      <c r="AI11" s="22"/>
    </row>
    <row r="12" spans="1:35" x14ac:dyDescent="0.2">
      <c r="A12" s="184">
        <v>12</v>
      </c>
      <c r="B12" s="272">
        <f>AVERAGE(D12:AG12)</f>
        <v>0.21099411957615097</v>
      </c>
      <c r="C12" s="22" t="s">
        <v>51</v>
      </c>
      <c r="D12" s="279">
        <v>0.21254411957615083</v>
      </c>
      <c r="E12" s="46">
        <f>$D$12+E11</f>
        <v>0.19854411957615081</v>
      </c>
      <c r="F12" s="46">
        <f t="shared" ref="F12:AG12" si="4">$D$12+F11</f>
        <v>0.20004411957615081</v>
      </c>
      <c r="G12" s="46">
        <f t="shared" si="4"/>
        <v>0.20254411957615082</v>
      </c>
      <c r="H12" s="46">
        <f t="shared" si="4"/>
        <v>0.20254411957615082</v>
      </c>
      <c r="I12" s="46">
        <f t="shared" si="4"/>
        <v>0.21254411957615083</v>
      </c>
      <c r="J12" s="46">
        <f t="shared" si="4"/>
        <v>0.21254411957615083</v>
      </c>
      <c r="K12" s="46">
        <f t="shared" si="4"/>
        <v>0.21254411957615083</v>
      </c>
      <c r="L12" s="46">
        <f t="shared" si="4"/>
        <v>0.21254411957615083</v>
      </c>
      <c r="M12" s="46">
        <f t="shared" si="4"/>
        <v>0.21254411957615083</v>
      </c>
      <c r="N12" s="46">
        <f t="shared" si="4"/>
        <v>0.21254411957615083</v>
      </c>
      <c r="O12" s="46">
        <f t="shared" si="4"/>
        <v>0.21254411957615083</v>
      </c>
      <c r="P12" s="46">
        <f t="shared" si="4"/>
        <v>0.21254411957615083</v>
      </c>
      <c r="Q12" s="46">
        <f t="shared" si="4"/>
        <v>0.21254411957615083</v>
      </c>
      <c r="R12" s="46">
        <f t="shared" si="4"/>
        <v>0.21254411957615083</v>
      </c>
      <c r="S12" s="46">
        <f t="shared" si="4"/>
        <v>0.21254411957615083</v>
      </c>
      <c r="T12" s="46">
        <f t="shared" si="4"/>
        <v>0.21254411957615083</v>
      </c>
      <c r="U12" s="46">
        <f t="shared" si="4"/>
        <v>0.21254411957615083</v>
      </c>
      <c r="V12" s="46">
        <f t="shared" si="4"/>
        <v>0.21254411957615083</v>
      </c>
      <c r="W12" s="46">
        <f t="shared" si="4"/>
        <v>0.21254411957615083</v>
      </c>
      <c r="X12" s="46">
        <f t="shared" si="4"/>
        <v>0.21254411957615083</v>
      </c>
      <c r="Y12" s="46">
        <f t="shared" si="4"/>
        <v>0.21254411957615083</v>
      </c>
      <c r="Z12" s="46">
        <f t="shared" si="4"/>
        <v>0.21254411957615083</v>
      </c>
      <c r="AA12" s="46">
        <f t="shared" si="4"/>
        <v>0.21254411957615083</v>
      </c>
      <c r="AB12" s="46">
        <f t="shared" si="4"/>
        <v>0.21254411957615083</v>
      </c>
      <c r="AC12" s="46">
        <f t="shared" si="4"/>
        <v>0.21254411957615083</v>
      </c>
      <c r="AD12" s="46">
        <f t="shared" si="4"/>
        <v>0.21254411957615083</v>
      </c>
      <c r="AE12" s="46">
        <f t="shared" si="4"/>
        <v>0.21254411957615083</v>
      </c>
      <c r="AF12" s="46">
        <f t="shared" si="4"/>
        <v>0.21254411957615083</v>
      </c>
      <c r="AG12" s="279">
        <f t="shared" si="4"/>
        <v>0.21254411957615083</v>
      </c>
      <c r="AH12" s="22"/>
      <c r="AI12" s="22"/>
    </row>
    <row r="13" spans="1:35" x14ac:dyDescent="0.2">
      <c r="A13" s="184">
        <v>13</v>
      </c>
      <c r="B13" s="22"/>
      <c r="C13" s="22" t="s">
        <v>72</v>
      </c>
      <c r="D13" s="280">
        <f>+D12*D8*24*365*D9</f>
        <v>167569.78387383732</v>
      </c>
      <c r="E13" s="8">
        <f t="shared" ref="E13:AG13" si="5">+E12*E8*24*365*E9</f>
        <v>156532.18387383729</v>
      </c>
      <c r="F13" s="8">
        <f t="shared" si="5"/>
        <v>157714.7838738373</v>
      </c>
      <c r="G13" s="8">
        <f t="shared" si="5"/>
        <v>159685.78387383732</v>
      </c>
      <c r="H13" s="8">
        <f t="shared" si="5"/>
        <v>159685.78387383732</v>
      </c>
      <c r="I13" s="8">
        <f t="shared" si="5"/>
        <v>167569.78387383732</v>
      </c>
      <c r="J13" s="8">
        <f t="shared" si="5"/>
        <v>167569.78387383732</v>
      </c>
      <c r="K13" s="8">
        <f t="shared" si="5"/>
        <v>167569.78387383732</v>
      </c>
      <c r="L13" s="8">
        <f t="shared" si="5"/>
        <v>167569.78387383732</v>
      </c>
      <c r="M13" s="8">
        <f t="shared" si="5"/>
        <v>167569.78387383732</v>
      </c>
      <c r="N13" s="8">
        <f t="shared" si="5"/>
        <v>167569.78387383732</v>
      </c>
      <c r="O13" s="8">
        <f t="shared" si="5"/>
        <v>167569.78387383732</v>
      </c>
      <c r="P13" s="8">
        <f t="shared" si="5"/>
        <v>167569.78387383732</v>
      </c>
      <c r="Q13" s="8">
        <f t="shared" si="5"/>
        <v>167569.78387383732</v>
      </c>
      <c r="R13" s="8">
        <f t="shared" si="5"/>
        <v>167569.78387383732</v>
      </c>
      <c r="S13" s="8">
        <f t="shared" si="5"/>
        <v>167569.78387383732</v>
      </c>
      <c r="T13" s="8">
        <f t="shared" si="5"/>
        <v>167569.78387383732</v>
      </c>
      <c r="U13" s="8">
        <f t="shared" si="5"/>
        <v>167569.78387383732</v>
      </c>
      <c r="V13" s="8">
        <f t="shared" si="5"/>
        <v>167569.78387383732</v>
      </c>
      <c r="W13" s="8">
        <f t="shared" si="5"/>
        <v>167569.78387383732</v>
      </c>
      <c r="X13" s="8">
        <f t="shared" si="5"/>
        <v>167569.78387383732</v>
      </c>
      <c r="Y13" s="8">
        <f t="shared" si="5"/>
        <v>167569.78387383732</v>
      </c>
      <c r="Z13" s="8">
        <f t="shared" si="5"/>
        <v>167569.78387383732</v>
      </c>
      <c r="AA13" s="8">
        <f t="shared" si="5"/>
        <v>167569.78387383732</v>
      </c>
      <c r="AB13" s="8">
        <f t="shared" si="5"/>
        <v>167569.78387383732</v>
      </c>
      <c r="AC13" s="8">
        <f t="shared" si="5"/>
        <v>167569.78387383732</v>
      </c>
      <c r="AD13" s="8">
        <f t="shared" si="5"/>
        <v>167569.78387383732</v>
      </c>
      <c r="AE13" s="8">
        <f t="shared" si="5"/>
        <v>167569.78387383732</v>
      </c>
      <c r="AF13" s="8">
        <f t="shared" si="5"/>
        <v>167569.78387383732</v>
      </c>
      <c r="AG13" s="280">
        <f t="shared" si="5"/>
        <v>167569.78387383732</v>
      </c>
      <c r="AH13" s="22"/>
      <c r="AI13" s="22"/>
    </row>
    <row r="14" spans="1:35" x14ac:dyDescent="0.2">
      <c r="A14" s="184">
        <v>14</v>
      </c>
      <c r="B14" s="273"/>
      <c r="C14" s="22" t="s">
        <v>90</v>
      </c>
      <c r="D14" s="280">
        <f>D10-D13</f>
        <v>620830.21612616268</v>
      </c>
      <c r="E14" s="8">
        <f t="shared" ref="E14:AG14" si="6">E10-E13</f>
        <v>631867.81612616265</v>
      </c>
      <c r="F14" s="8">
        <f t="shared" si="6"/>
        <v>630685.21612616268</v>
      </c>
      <c r="G14" s="8">
        <f t="shared" si="6"/>
        <v>628714.21612616268</v>
      </c>
      <c r="H14" s="8">
        <f t="shared" si="6"/>
        <v>628714.21612616268</v>
      </c>
      <c r="I14" s="8">
        <f t="shared" si="6"/>
        <v>620830.21612616268</v>
      </c>
      <c r="J14" s="8">
        <f t="shared" si="6"/>
        <v>620830.21612616268</v>
      </c>
      <c r="K14" s="8">
        <f t="shared" si="6"/>
        <v>620830.21612616268</v>
      </c>
      <c r="L14" s="8">
        <f t="shared" si="6"/>
        <v>620830.21612616268</v>
      </c>
      <c r="M14" s="8">
        <f t="shared" si="6"/>
        <v>620830.21612616268</v>
      </c>
      <c r="N14" s="8">
        <f t="shared" si="6"/>
        <v>620830.21612616268</v>
      </c>
      <c r="O14" s="8">
        <f t="shared" si="6"/>
        <v>620830.21612616268</v>
      </c>
      <c r="P14" s="8">
        <f t="shared" si="6"/>
        <v>620830.21612616268</v>
      </c>
      <c r="Q14" s="8">
        <f t="shared" si="6"/>
        <v>620830.21612616268</v>
      </c>
      <c r="R14" s="8">
        <f t="shared" si="6"/>
        <v>620830.21612616268</v>
      </c>
      <c r="S14" s="8">
        <f t="shared" si="6"/>
        <v>620830.21612616268</v>
      </c>
      <c r="T14" s="8">
        <f t="shared" si="6"/>
        <v>620830.21612616268</v>
      </c>
      <c r="U14" s="8">
        <f t="shared" si="6"/>
        <v>620830.21612616268</v>
      </c>
      <c r="V14" s="8">
        <f t="shared" si="6"/>
        <v>620830.21612616268</v>
      </c>
      <c r="W14" s="8">
        <f t="shared" si="6"/>
        <v>620830.21612616268</v>
      </c>
      <c r="X14" s="8">
        <f t="shared" si="6"/>
        <v>620830.21612616268</v>
      </c>
      <c r="Y14" s="8">
        <f t="shared" si="6"/>
        <v>620830.21612616268</v>
      </c>
      <c r="Z14" s="8">
        <f t="shared" si="6"/>
        <v>620830.21612616268</v>
      </c>
      <c r="AA14" s="8">
        <f t="shared" si="6"/>
        <v>620830.21612616268</v>
      </c>
      <c r="AB14" s="8">
        <f t="shared" si="6"/>
        <v>620830.21612616268</v>
      </c>
      <c r="AC14" s="8">
        <f t="shared" si="6"/>
        <v>620830.21612616268</v>
      </c>
      <c r="AD14" s="8">
        <f t="shared" si="6"/>
        <v>620830.21612616268</v>
      </c>
      <c r="AE14" s="8">
        <f t="shared" si="6"/>
        <v>620830.21612616268</v>
      </c>
      <c r="AF14" s="8">
        <f t="shared" si="6"/>
        <v>620830.21612616268</v>
      </c>
      <c r="AG14" s="280">
        <f t="shared" si="6"/>
        <v>620830.21612616268</v>
      </c>
      <c r="AH14" s="22"/>
      <c r="AI14" s="22"/>
    </row>
    <row r="15" spans="1:35" ht="14.25" customHeight="1" x14ac:dyDescent="0.2">
      <c r="A15" s="184"/>
      <c r="B15" s="22"/>
      <c r="C15" s="22"/>
      <c r="D15" s="22"/>
      <c r="AG15" s="22"/>
      <c r="AH15" s="22"/>
      <c r="AI15" s="22"/>
    </row>
    <row r="16" spans="1:35" x14ac:dyDescent="0.2">
      <c r="A16" s="184"/>
      <c r="B16" s="256"/>
      <c r="C16" s="18" t="s">
        <v>5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6" x14ac:dyDescent="0.2">
      <c r="A17" s="184">
        <v>17</v>
      </c>
      <c r="B17" s="256">
        <f>'Inputs '!K6</f>
        <v>2.5000000000000001E-2</v>
      </c>
      <c r="C17" s="22" t="s">
        <v>38</v>
      </c>
      <c r="D17" s="281">
        <v>120</v>
      </c>
      <c r="E17" s="56">
        <f>D17*(1+$B$17)</f>
        <v>122.99999999999999</v>
      </c>
      <c r="F17" s="56">
        <f t="shared" ref="F17:AG17" si="7">E17*(1+$B$17)</f>
        <v>126.07499999999997</v>
      </c>
      <c r="G17" s="56">
        <f t="shared" si="7"/>
        <v>129.22687499999995</v>
      </c>
      <c r="H17" s="56">
        <f t="shared" si="7"/>
        <v>132.45754687499993</v>
      </c>
      <c r="I17" s="56">
        <f t="shared" si="7"/>
        <v>135.76898554687492</v>
      </c>
      <c r="J17" s="56">
        <f t="shared" si="7"/>
        <v>139.16321018554677</v>
      </c>
      <c r="K17" s="56">
        <f t="shared" si="7"/>
        <v>142.64229044018543</v>
      </c>
      <c r="L17" s="56">
        <f t="shared" si="7"/>
        <v>146.20834770119006</v>
      </c>
      <c r="M17" s="56">
        <f t="shared" si="7"/>
        <v>149.86355639371979</v>
      </c>
      <c r="N17" s="56">
        <f t="shared" si="7"/>
        <v>153.61014530356277</v>
      </c>
      <c r="O17" s="56">
        <f t="shared" si="7"/>
        <v>157.45039893615183</v>
      </c>
      <c r="P17" s="56">
        <f t="shared" si="7"/>
        <v>161.38665890955562</v>
      </c>
      <c r="Q17" s="56">
        <f t="shared" si="7"/>
        <v>165.4213253822945</v>
      </c>
      <c r="R17" s="56">
        <f t="shared" si="7"/>
        <v>169.55685851685183</v>
      </c>
      <c r="S17" s="56">
        <f t="shared" si="7"/>
        <v>173.7957799797731</v>
      </c>
      <c r="T17" s="56">
        <f t="shared" si="7"/>
        <v>178.1406744792674</v>
      </c>
      <c r="U17" s="56">
        <f t="shared" si="7"/>
        <v>182.59419134124909</v>
      </c>
      <c r="V17" s="56">
        <f t="shared" si="7"/>
        <v>187.1590461247803</v>
      </c>
      <c r="W17" s="56">
        <f t="shared" si="7"/>
        <v>191.8380222778998</v>
      </c>
      <c r="X17" s="56">
        <f t="shared" si="7"/>
        <v>196.63397283484727</v>
      </c>
      <c r="Y17" s="56">
        <f t="shared" si="7"/>
        <v>201.54982215571843</v>
      </c>
      <c r="Z17" s="56">
        <f t="shared" si="7"/>
        <v>206.58856770961137</v>
      </c>
      <c r="AA17" s="56">
        <f t="shared" si="7"/>
        <v>211.75328190235163</v>
      </c>
      <c r="AB17" s="56">
        <f t="shared" si="7"/>
        <v>217.0471139499104</v>
      </c>
      <c r="AC17" s="56">
        <f t="shared" si="7"/>
        <v>222.47329179865812</v>
      </c>
      <c r="AD17" s="56">
        <f t="shared" si="7"/>
        <v>228.03512409362455</v>
      </c>
      <c r="AE17" s="56">
        <f t="shared" si="7"/>
        <v>233.73600219596514</v>
      </c>
      <c r="AF17" s="56">
        <f t="shared" si="7"/>
        <v>239.57940225086426</v>
      </c>
      <c r="AG17" s="285">
        <f t="shared" si="7"/>
        <v>245.56888730713584</v>
      </c>
      <c r="AH17" s="22"/>
      <c r="AI17" s="22"/>
      <c r="AJ17" s="22"/>
    </row>
    <row r="18" spans="1:36" ht="13.5" thickBot="1" x14ac:dyDescent="0.25">
      <c r="A18" s="184">
        <v>18</v>
      </c>
      <c r="B18" s="22"/>
      <c r="C18" s="22" t="s">
        <v>73</v>
      </c>
      <c r="D18" s="282">
        <f t="shared" ref="D18:AG18" si="8">D17*D13</f>
        <v>20108374.064860478</v>
      </c>
      <c r="E18" s="11">
        <f t="shared" si="8"/>
        <v>19253458.616481986</v>
      </c>
      <c r="F18" s="11">
        <f t="shared" si="8"/>
        <v>19883891.376894034</v>
      </c>
      <c r="G18" s="11">
        <f t="shared" si="8"/>
        <v>20635694.831941385</v>
      </c>
      <c r="H18" s="11">
        <f t="shared" si="8"/>
        <v>21151587.202739917</v>
      </c>
      <c r="I18" s="11">
        <f t="shared" si="8"/>
        <v>22750779.564859971</v>
      </c>
      <c r="J18" s="11">
        <f t="shared" si="8"/>
        <v>23319549.053981468</v>
      </c>
      <c r="K18" s="11">
        <f t="shared" si="8"/>
        <v>23902537.780331004</v>
      </c>
      <c r="L18" s="11">
        <f t="shared" si="8"/>
        <v>24500101.224839278</v>
      </c>
      <c r="M18" s="11">
        <f t="shared" si="8"/>
        <v>25112603.755460259</v>
      </c>
      <c r="N18" s="11">
        <f t="shared" si="8"/>
        <v>25740418.849346761</v>
      </c>
      <c r="O18" s="11">
        <f t="shared" si="8"/>
        <v>26383929.320580427</v>
      </c>
      <c r="P18" s="11">
        <f t="shared" si="8"/>
        <v>27043527.553594939</v>
      </c>
      <c r="Q18" s="11">
        <f t="shared" si="8"/>
        <v>27719615.742434811</v>
      </c>
      <c r="R18" s="11">
        <f t="shared" si="8"/>
        <v>28412606.135995675</v>
      </c>
      <c r="S18" s="11">
        <f t="shared" si="8"/>
        <v>29122921.289395563</v>
      </c>
      <c r="T18" s="11">
        <f t="shared" si="8"/>
        <v>29850994.321630448</v>
      </c>
      <c r="U18" s="11">
        <f t="shared" si="8"/>
        <v>30597269.179671209</v>
      </c>
      <c r="V18" s="11">
        <f t="shared" si="8"/>
        <v>31362200.909162987</v>
      </c>
      <c r="W18" s="11">
        <f t="shared" si="8"/>
        <v>32146255.93189206</v>
      </c>
      <c r="X18" s="11">
        <f t="shared" si="8"/>
        <v>32949912.330189358</v>
      </c>
      <c r="Y18" s="11">
        <f t="shared" si="8"/>
        <v>33773660.138444088</v>
      </c>
      <c r="Z18" s="11">
        <f t="shared" si="8"/>
        <v>34618001.641905189</v>
      </c>
      <c r="AA18" s="11">
        <f t="shared" si="8"/>
        <v>35483451.682952814</v>
      </c>
      <c r="AB18" s="11">
        <f t="shared" si="8"/>
        <v>36370537.97502663</v>
      </c>
      <c r="AC18" s="11">
        <f t="shared" si="8"/>
        <v>37279801.424402289</v>
      </c>
      <c r="AD18" s="11">
        <f t="shared" si="8"/>
        <v>38211796.460012339</v>
      </c>
      <c r="AE18" s="11">
        <f t="shared" si="8"/>
        <v>39167091.371512644</v>
      </c>
      <c r="AF18" s="11">
        <f t="shared" si="8"/>
        <v>40146268.655800462</v>
      </c>
      <c r="AG18" s="282">
        <f t="shared" si="8"/>
        <v>41149925.372195467</v>
      </c>
      <c r="AH18" s="22"/>
      <c r="AI18" s="22"/>
      <c r="AJ18" s="22"/>
    </row>
    <row r="19" spans="1:36" ht="13.5" thickBot="1" x14ac:dyDescent="0.25">
      <c r="A19" s="184">
        <v>19</v>
      </c>
      <c r="B19" s="274">
        <f>Prepaydiscountrate</f>
        <v>7.0000000000000007E-2</v>
      </c>
      <c r="C19" s="43">
        <f>SUM(D19:AG19)</f>
        <v>320000000.00000006</v>
      </c>
      <c r="D19" s="282">
        <f t="shared" ref="D19:AG19" si="9">+D18/(1+$B$19)^D4</f>
        <v>18792872.957813531</v>
      </c>
      <c r="E19" s="7">
        <f t="shared" si="9"/>
        <v>16816716.408840936</v>
      </c>
      <c r="F19" s="7">
        <f t="shared" si="9"/>
        <v>16231178.315286919</v>
      </c>
      <c r="G19" s="7">
        <f t="shared" si="9"/>
        <v>15742872.784561943</v>
      </c>
      <c r="H19" s="7">
        <f t="shared" si="9"/>
        <v>15080789.349697186</v>
      </c>
      <c r="I19" s="7">
        <f t="shared" si="9"/>
        <v>15159805.048808062</v>
      </c>
      <c r="J19" s="7">
        <f t="shared" si="9"/>
        <v>14522243.15423202</v>
      </c>
      <c r="K19" s="7">
        <f t="shared" si="9"/>
        <v>13911494.61036245</v>
      </c>
      <c r="L19" s="7">
        <f t="shared" si="9"/>
        <v>13326431.752917297</v>
      </c>
      <c r="M19" s="7">
        <f t="shared" si="9"/>
        <v>12765974.342747878</v>
      </c>
      <c r="N19" s="7">
        <f t="shared" si="9"/>
        <v>12229087.571323898</v>
      </c>
      <c r="O19" s="7">
        <f t="shared" si="9"/>
        <v>11714780.150099996</v>
      </c>
      <c r="P19" s="7">
        <f t="shared" si="9"/>
        <v>11222102.480235979</v>
      </c>
      <c r="Q19" s="7">
        <f t="shared" si="9"/>
        <v>10750144.899291474</v>
      </c>
      <c r="R19" s="7">
        <f t="shared" si="9"/>
        <v>10298036.001657717</v>
      </c>
      <c r="S19" s="7">
        <f t="shared" si="9"/>
        <v>9864941.0296253841</v>
      </c>
      <c r="T19" s="7">
        <f t="shared" si="9"/>
        <v>9450060.3321177717</v>
      </c>
      <c r="U19" s="7">
        <f t="shared" si="9"/>
        <v>9052627.8882436603</v>
      </c>
      <c r="V19" s="7">
        <f t="shared" si="9"/>
        <v>8671909.8929436915</v>
      </c>
      <c r="W19" s="7">
        <f t="shared" si="9"/>
        <v>8307203.4021189576</v>
      </c>
      <c r="X19" s="7">
        <f t="shared" si="9"/>
        <v>7957835.034740122</v>
      </c>
      <c r="Y19" s="7">
        <f t="shared" si="9"/>
        <v>7623159.7295407699</v>
      </c>
      <c r="Z19" s="7">
        <f t="shared" si="9"/>
        <v>7302559.5539993355</v>
      </c>
      <c r="AA19" s="7">
        <f t="shared" si="9"/>
        <v>6995442.5634105774</v>
      </c>
      <c r="AB19" s="7">
        <f t="shared" si="9"/>
        <v>6701241.7079400374</v>
      </c>
      <c r="AC19" s="7">
        <f t="shared" si="9"/>
        <v>6419413.7856434928</v>
      </c>
      <c r="AD19" s="7">
        <f t="shared" si="9"/>
        <v>6149438.4395182971</v>
      </c>
      <c r="AE19" s="7">
        <f t="shared" si="9"/>
        <v>5890817.1967348177</v>
      </c>
      <c r="AF19" s="7">
        <f t="shared" si="9"/>
        <v>5643072.5482740076</v>
      </c>
      <c r="AG19" s="194">
        <f t="shared" si="9"/>
        <v>5405747.0672718296</v>
      </c>
      <c r="AH19" s="22"/>
      <c r="AI19" s="22"/>
      <c r="AJ19" s="22"/>
    </row>
    <row r="20" spans="1:36" x14ac:dyDescent="0.2">
      <c r="A20" s="184">
        <v>20</v>
      </c>
      <c r="B20" s="274"/>
      <c r="C20" s="247">
        <f>'Purchase Price and DS Calcs'!E8</f>
        <v>-96000000</v>
      </c>
      <c r="D20" s="19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94"/>
      <c r="AH20" s="22"/>
      <c r="AI20" s="22"/>
      <c r="AJ20" s="22"/>
    </row>
    <row r="21" spans="1:36" ht="13.5" thickBot="1" x14ac:dyDescent="0.25">
      <c r="A21" s="184">
        <v>21</v>
      </c>
      <c r="B21" s="274"/>
      <c r="C21" s="248">
        <f>C19-C20</f>
        <v>416000000.00000006</v>
      </c>
      <c r="D21" s="19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94"/>
      <c r="AH21" s="22"/>
      <c r="AI21" s="22"/>
      <c r="AJ21" s="22"/>
    </row>
    <row r="22" spans="1:36" x14ac:dyDescent="0.2">
      <c r="A22" s="184"/>
      <c r="B22" s="274"/>
      <c r="C22" s="283"/>
      <c r="D22" s="194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94"/>
      <c r="AH22" s="22"/>
      <c r="AI22" s="22"/>
      <c r="AJ22" s="22"/>
    </row>
    <row r="23" spans="1:36" x14ac:dyDescent="0.2">
      <c r="A23" s="184"/>
      <c r="B23" s="22"/>
      <c r="C23" s="22"/>
      <c r="D23" s="194"/>
      <c r="E23" s="10"/>
      <c r="AG23" s="22"/>
      <c r="AH23" s="22"/>
      <c r="AI23" s="22"/>
      <c r="AJ23" s="22"/>
    </row>
    <row r="24" spans="1:36" x14ac:dyDescent="0.2">
      <c r="A24" s="184">
        <v>24</v>
      </c>
      <c r="B24" s="256"/>
      <c r="C24" s="18" t="s">
        <v>202</v>
      </c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45"/>
      <c r="AI24" s="22"/>
    </row>
    <row r="25" spans="1:36" x14ac:dyDescent="0.2">
      <c r="A25" s="184">
        <v>25</v>
      </c>
      <c r="B25" s="230" t="s">
        <v>152</v>
      </c>
      <c r="C25" s="1" t="s">
        <v>151</v>
      </c>
      <c r="D25" s="176">
        <f>'EQ BOOK DEPR'!F10/1000000</f>
        <v>400</v>
      </c>
      <c r="E25" s="176">
        <f>'EQ BOOK DEPR'!G10/1000000</f>
        <v>389.74358974358978</v>
      </c>
      <c r="F25" s="176">
        <f>'EQ BOOK DEPR'!H10/1000000</f>
        <v>382.4871794871795</v>
      </c>
      <c r="G25" s="176">
        <f>'EQ BOOK DEPR'!I10/1000000</f>
        <v>375.24384615384622</v>
      </c>
      <c r="H25" s="176">
        <f>'EQ BOOK DEPR'!J10/1000000</f>
        <v>368.01398205128208</v>
      </c>
      <c r="I25" s="176">
        <f>'EQ BOOK DEPR'!K10/1000000</f>
        <v>360.79799125641028</v>
      </c>
      <c r="J25" s="176">
        <f>'EQ BOOK DEPR'!L10/1000000</f>
        <v>353.59628996846158</v>
      </c>
      <c r="K25" s="176">
        <f>'EQ BOOK DEPR'!M10/1000000</f>
        <v>346.40930687264358</v>
      </c>
      <c r="L25" s="176">
        <f>'EQ BOOK DEPR'!N10/1000000</f>
        <v>339.23748351472034</v>
      </c>
      <c r="M25" s="176">
        <f>'EQ BOOK DEPR'!O10/1000000</f>
        <v>332.08127468682864</v>
      </c>
      <c r="N25" s="176">
        <f>'EQ BOOK DEPR'!P10/1000000</f>
        <v>324.9411488248694</v>
      </c>
      <c r="O25" s="176">
        <f>'EQ BOOK DEPR'!Q10/1000000</f>
        <v>317.81758841782062</v>
      </c>
      <c r="P25" s="176">
        <f>'EQ BOOK DEPR'!R10/1000000</f>
        <v>310.71109042932966</v>
      </c>
      <c r="Q25" s="176">
        <f>'EQ BOOK DEPR'!S10/1000000</f>
        <v>303.62216673195309</v>
      </c>
      <c r="R25" s="176">
        <f>'EQ BOOK DEPR'!T10/1000000</f>
        <v>296.55134455442453</v>
      </c>
      <c r="S25" s="176">
        <f>'EQ BOOK DEPR'!U10/1000000</f>
        <v>289.49916694233929</v>
      </c>
      <c r="T25" s="176">
        <f>'EQ BOOK DEPR'!V10/1000000</f>
        <v>282.46619323266077</v>
      </c>
      <c r="U25" s="176">
        <f>'EQ BOOK DEPR'!W10/1000000</f>
        <v>275.4529995424611</v>
      </c>
      <c r="V25" s="176">
        <f>'EQ BOOK DEPR'!X10/1000000</f>
        <v>268.46017927232469</v>
      </c>
      <c r="W25" s="176">
        <f>'EQ BOOK DEPR'!Y10/1000000</f>
        <v>261.48834362485337</v>
      </c>
      <c r="X25" s="176">
        <f>'EQ BOOK DEPR'!Z10/1000000</f>
        <v>254.53812213872718</v>
      </c>
      <c r="Y25" s="176">
        <f>'EQ BOOK DEPR'!AA10/1000000</f>
        <v>247.61016323878644</v>
      </c>
      <c r="Z25" s="176">
        <f>'EQ BOOK DEPR'!AB10/1000000</f>
        <v>240.7051348026167</v>
      </c>
      <c r="AA25" s="176">
        <f>'EQ BOOK DEPR'!AC10/1000000</f>
        <v>233.82372474413108</v>
      </c>
      <c r="AB25" s="176">
        <f>'EQ BOOK DEPR'!AD10/1000000</f>
        <v>226.96664161466015</v>
      </c>
      <c r="AC25" s="176">
        <f>'EQ BOOK DEPR'!AE10/1000000</f>
        <v>220.13461522207433</v>
      </c>
      <c r="AD25" s="176">
        <f>'EQ BOOK DEPR'!AF10/1000000</f>
        <v>213.32839726848016</v>
      </c>
      <c r="AE25" s="176">
        <f>'EQ BOOK DEPR'!AG10/1000000</f>
        <v>206.54876200704737</v>
      </c>
      <c r="AF25" s="176">
        <f>'EQ BOOK DEPR'!AH10/1000000</f>
        <v>199.79650691854087</v>
      </c>
      <c r="AG25" s="176">
        <f>'EQ BOOK DEPR'!AI10/1000000</f>
        <v>193.07245340814836</v>
      </c>
      <c r="AH25" s="193"/>
      <c r="AI25" s="22"/>
    </row>
    <row r="26" spans="1:36" x14ac:dyDescent="0.2">
      <c r="A26" s="184">
        <v>26</v>
      </c>
      <c r="B26" s="256">
        <f>(D26/1000000)/D25</f>
        <v>2.5000000000000001E-2</v>
      </c>
      <c r="C26" s="1" t="s">
        <v>43</v>
      </c>
      <c r="D26" s="7">
        <f>UpdatedTaxesMay</f>
        <v>10000000</v>
      </c>
      <c r="E26" s="7">
        <f>(E25*$B$26)*1000000</f>
        <v>9743589.743589744</v>
      </c>
      <c r="F26" s="7">
        <f t="shared" ref="F26:AG26" si="10">(F25*$B$26)*1000000</f>
        <v>9562179.4871794879</v>
      </c>
      <c r="G26" s="7">
        <f t="shared" si="10"/>
        <v>9381096.1538461559</v>
      </c>
      <c r="H26" s="7">
        <f t="shared" si="10"/>
        <v>9200349.551282052</v>
      </c>
      <c r="I26" s="7">
        <f t="shared" si="10"/>
        <v>9019949.7814102583</v>
      </c>
      <c r="J26" s="7">
        <f t="shared" si="10"/>
        <v>8839907.2492115404</v>
      </c>
      <c r="K26" s="7">
        <f t="shared" si="10"/>
        <v>8660232.6718160901</v>
      </c>
      <c r="L26" s="7">
        <f t="shared" si="10"/>
        <v>8480937.0878680088</v>
      </c>
      <c r="M26" s="7">
        <f t="shared" si="10"/>
        <v>8302031.8671707166</v>
      </c>
      <c r="N26" s="7">
        <f t="shared" si="10"/>
        <v>8123528.7206217349</v>
      </c>
      <c r="O26" s="7">
        <f t="shared" si="10"/>
        <v>7945439.7104455158</v>
      </c>
      <c r="P26" s="7">
        <f t="shared" si="10"/>
        <v>7767777.2607332421</v>
      </c>
      <c r="Q26" s="7">
        <f t="shared" si="10"/>
        <v>7590554.1682988275</v>
      </c>
      <c r="R26" s="7">
        <f t="shared" si="10"/>
        <v>7413783.6138606137</v>
      </c>
      <c r="S26" s="7">
        <f t="shared" si="10"/>
        <v>7237479.1735584829</v>
      </c>
      <c r="T26" s="7">
        <f t="shared" si="10"/>
        <v>7061654.8308165194</v>
      </c>
      <c r="U26" s="7">
        <f t="shared" si="10"/>
        <v>6886324.9885615278</v>
      </c>
      <c r="V26" s="7">
        <f t="shared" si="10"/>
        <v>6711504.4818081176</v>
      </c>
      <c r="W26" s="7">
        <f t="shared" si="10"/>
        <v>6537208.5906213345</v>
      </c>
      <c r="X26" s="7">
        <f t="shared" si="10"/>
        <v>6363453.0534681799</v>
      </c>
      <c r="Y26" s="7">
        <f t="shared" si="10"/>
        <v>6190254.0809696615</v>
      </c>
      <c r="Z26" s="7">
        <f t="shared" si="10"/>
        <v>6017628.3700654181</v>
      </c>
      <c r="AA26" s="7">
        <f t="shared" si="10"/>
        <v>5845593.118603277</v>
      </c>
      <c r="AB26" s="7">
        <f t="shared" si="10"/>
        <v>5674166.0403665043</v>
      </c>
      <c r="AC26" s="7">
        <f t="shared" si="10"/>
        <v>5503365.3805518588</v>
      </c>
      <c r="AD26" s="7">
        <f t="shared" si="10"/>
        <v>5333209.9317120044</v>
      </c>
      <c r="AE26" s="7">
        <f t="shared" si="10"/>
        <v>5163719.0501761846</v>
      </c>
      <c r="AF26" s="7">
        <f t="shared" si="10"/>
        <v>4994912.6729635224</v>
      </c>
      <c r="AG26" s="7">
        <f t="shared" si="10"/>
        <v>4826811.3352037091</v>
      </c>
      <c r="AH26" s="194"/>
      <c r="AI26" s="22"/>
    </row>
    <row r="27" spans="1:36" x14ac:dyDescent="0.2">
      <c r="A27" s="184">
        <v>27</v>
      </c>
      <c r="B27" s="230"/>
      <c r="C27" s="1" t="s">
        <v>153</v>
      </c>
      <c r="D27" s="51">
        <f t="shared" ref="D27:AG27" si="11">D26/D10</f>
        <v>12.683916793505835</v>
      </c>
      <c r="E27" s="51">
        <f t="shared" si="11"/>
        <v>12.358688157774916</v>
      </c>
      <c r="F27" s="51">
        <f t="shared" si="11"/>
        <v>12.128588897995291</v>
      </c>
      <c r="G27" s="51">
        <f t="shared" si="11"/>
        <v>11.898904304726225</v>
      </c>
      <c r="H27" s="51">
        <f t="shared" si="11"/>
        <v>11.669646817963029</v>
      </c>
      <c r="I27" s="51">
        <f t="shared" si="11"/>
        <v>11.440829250900885</v>
      </c>
      <c r="J27" s="51">
        <f t="shared" si="11"/>
        <v>11.212464801130823</v>
      </c>
      <c r="K27" s="51">
        <f t="shared" si="11"/>
        <v>10.984567062171601</v>
      </c>
      <c r="L27" s="51">
        <f t="shared" si="11"/>
        <v>10.75715003534755</v>
      </c>
      <c r="M27" s="51">
        <f t="shared" si="11"/>
        <v>10.530228142022725</v>
      </c>
      <c r="N27" s="51">
        <f t="shared" si="11"/>
        <v>10.303816236202099</v>
      </c>
      <c r="O27" s="51">
        <f t="shared" si="11"/>
        <v>10.077929617510801</v>
      </c>
      <c r="P27" s="51">
        <f t="shared" si="11"/>
        <v>9.8525840445627129</v>
      </c>
      <c r="Q27" s="51">
        <f t="shared" si="11"/>
        <v>9.6277957487301205</v>
      </c>
      <c r="R27" s="51">
        <f t="shared" si="11"/>
        <v>9.4035814483265021</v>
      </c>
      <c r="S27" s="51">
        <f t="shared" si="11"/>
        <v>9.1799583632147161</v>
      </c>
      <c r="T27" s="51">
        <f t="shared" si="11"/>
        <v>8.9569442298535247</v>
      </c>
      <c r="U27" s="51">
        <f t="shared" si="11"/>
        <v>8.7345573167954438</v>
      </c>
      <c r="V27" s="51">
        <f t="shared" si="11"/>
        <v>8.5128164406495657</v>
      </c>
      <c r="W27" s="51">
        <f t="shared" si="11"/>
        <v>8.2917409825232546</v>
      </c>
      <c r="X27" s="51">
        <f t="shared" si="11"/>
        <v>8.0713509049571037</v>
      </c>
      <c r="Y27" s="51">
        <f t="shared" si="11"/>
        <v>7.8516667693679114</v>
      </c>
      <c r="Z27" s="51">
        <f t="shared" si="11"/>
        <v>7.6327097540149902</v>
      </c>
      <c r="AA27" s="51">
        <f t="shared" si="11"/>
        <v>7.4145016725054251</v>
      </c>
      <c r="AB27" s="51">
        <f t="shared" si="11"/>
        <v>7.1970649928545214</v>
      </c>
      <c r="AC27" s="51">
        <f t="shared" si="11"/>
        <v>6.9804228571180351</v>
      </c>
      <c r="AD27" s="51">
        <f t="shared" si="11"/>
        <v>6.7645991016133999</v>
      </c>
      <c r="AE27" s="51">
        <f t="shared" si="11"/>
        <v>6.5496182777475704</v>
      </c>
      <c r="AF27" s="51">
        <f t="shared" si="11"/>
        <v>6.3355056734697142</v>
      </c>
      <c r="AG27" s="51">
        <f t="shared" si="11"/>
        <v>6.1222873353674645</v>
      </c>
      <c r="AH27" s="195"/>
      <c r="AI27" s="22"/>
    </row>
    <row r="28" spans="1:36" x14ac:dyDescent="0.2">
      <c r="A28" s="184"/>
      <c r="B28" s="2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195"/>
      <c r="AI28" s="22"/>
    </row>
    <row r="29" spans="1:36" x14ac:dyDescent="0.2">
      <c r="B29" s="22"/>
    </row>
  </sheetData>
  <printOptions horizontalCentered="1"/>
  <pageMargins left="0.45" right="0.45" top="0.75" bottom="0.5" header="0.3" footer="0.3"/>
  <pageSetup scale="65" pageOrder="overThenDown" orientation="landscape" r:id="rId1"/>
  <headerFooter>
    <oddHeader>&amp;CDraft Prepay Calculation
As of Thursday, September 19, 2013</oddHeader>
    <oddFooter>&amp;CDraft Prepay Calculation, As of Thursday, September 19, 2013, Page &amp;P</oddFooter>
  </headerFooter>
  <colBreaks count="3" manualBreakCount="3">
    <brk id="9" min="2" max="34" man="1"/>
    <brk id="18" min="2" max="34" man="1"/>
    <brk id="25" min="2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70"/>
  <sheetViews>
    <sheetView zoomScaleNormal="100" workbookViewId="0">
      <selection activeCell="C38" sqref="C38"/>
    </sheetView>
  </sheetViews>
  <sheetFormatPr defaultRowHeight="12.75" x14ac:dyDescent="0.2"/>
  <cols>
    <col min="1" max="1" width="9.33203125" style="184" customWidth="1"/>
    <col min="2" max="2" width="16.1640625" style="67" customWidth="1"/>
    <col min="3" max="3" width="15.1640625" style="1" customWidth="1"/>
    <col min="4" max="4" width="33.5" style="1" bestFit="1" customWidth="1"/>
    <col min="5" max="5" width="15.33203125" style="1" customWidth="1"/>
    <col min="6" max="9" width="14.83203125" style="1" customWidth="1"/>
    <col min="10" max="11" width="13.83203125" style="1" customWidth="1"/>
    <col min="12" max="12" width="12.83203125" style="1" customWidth="1"/>
    <col min="13" max="16384" width="9.33203125" style="1"/>
  </cols>
  <sheetData>
    <row r="1" spans="1:9" x14ac:dyDescent="0.2">
      <c r="E1" s="7"/>
    </row>
    <row r="2" spans="1:9" ht="15.75" x14ac:dyDescent="0.25">
      <c r="D2" s="9"/>
      <c r="E2" s="9" t="str">
        <f>CONCATENATE("Conduit Income and Cash Flow ( ",$E$8*100,"%)")</f>
        <v>Conduit Income and Cash Flow ( 90%)</v>
      </c>
    </row>
    <row r="3" spans="1:9" x14ac:dyDescent="0.2">
      <c r="A3" s="5"/>
      <c r="D3" s="23" t="s">
        <v>12</v>
      </c>
      <c r="E3" s="24">
        <v>1</v>
      </c>
      <c r="F3" s="24">
        <f>+E3+1</f>
        <v>2</v>
      </c>
      <c r="G3" s="24">
        <f t="shared" ref="G3:I4" si="0">+F3+1</f>
        <v>3</v>
      </c>
      <c r="H3" s="24">
        <f t="shared" si="0"/>
        <v>4</v>
      </c>
      <c r="I3" s="24">
        <f t="shared" si="0"/>
        <v>5</v>
      </c>
    </row>
    <row r="4" spans="1:9" x14ac:dyDescent="0.2">
      <c r="A4" s="184" t="s">
        <v>142</v>
      </c>
      <c r="D4" s="23" t="s">
        <v>29</v>
      </c>
      <c r="E4" s="24">
        <v>2014</v>
      </c>
      <c r="F4" s="24">
        <f>+E4+1</f>
        <v>2015</v>
      </c>
      <c r="G4" s="24">
        <f t="shared" si="0"/>
        <v>2016</v>
      </c>
      <c r="H4" s="24">
        <f t="shared" si="0"/>
        <v>2017</v>
      </c>
      <c r="I4" s="24">
        <f t="shared" si="0"/>
        <v>2018</v>
      </c>
    </row>
    <row r="5" spans="1:9" ht="3.95" customHeight="1" x14ac:dyDescent="0.2">
      <c r="E5" s="2"/>
      <c r="F5" s="2"/>
      <c r="G5" s="2"/>
      <c r="H5" s="2"/>
      <c r="I5" s="2"/>
    </row>
    <row r="6" spans="1:9" x14ac:dyDescent="0.2">
      <c r="A6" s="184">
        <v>6</v>
      </c>
      <c r="D6" s="18" t="s">
        <v>4</v>
      </c>
      <c r="E6" s="19"/>
      <c r="F6" s="19"/>
      <c r="G6" s="19"/>
      <c r="H6" s="19"/>
      <c r="I6" s="19"/>
    </row>
    <row r="7" spans="1:9" x14ac:dyDescent="0.2">
      <c r="A7" s="184">
        <v>7</v>
      </c>
      <c r="B7" s="230"/>
      <c r="C7" s="231"/>
      <c r="D7" s="1" t="s">
        <v>1</v>
      </c>
      <c r="E7" s="12">
        <v>100</v>
      </c>
      <c r="F7" s="2">
        <f>+E7</f>
        <v>100</v>
      </c>
      <c r="G7" s="2">
        <f t="shared" ref="G7:I7" si="1">+F7</f>
        <v>100</v>
      </c>
      <c r="H7" s="2">
        <f t="shared" si="1"/>
        <v>100</v>
      </c>
      <c r="I7" s="2">
        <f t="shared" si="1"/>
        <v>100</v>
      </c>
    </row>
    <row r="8" spans="1:9" x14ac:dyDescent="0.2">
      <c r="A8" s="184">
        <v>8</v>
      </c>
      <c r="B8" s="230"/>
      <c r="C8" s="232"/>
      <c r="D8" s="1" t="s">
        <v>167</v>
      </c>
      <c r="E8" s="13">
        <f t="shared" ref="E8:I8" si="2">ScenarioAvailability</f>
        <v>0.9</v>
      </c>
      <c r="F8" s="13">
        <f t="shared" si="2"/>
        <v>0.9</v>
      </c>
      <c r="G8" s="13">
        <f t="shared" si="2"/>
        <v>0.9</v>
      </c>
      <c r="H8" s="13">
        <f t="shared" si="2"/>
        <v>0.9</v>
      </c>
      <c r="I8" s="13">
        <f t="shared" si="2"/>
        <v>0.9</v>
      </c>
    </row>
    <row r="9" spans="1:9" x14ac:dyDescent="0.2">
      <c r="A9" s="184">
        <v>9</v>
      </c>
      <c r="B9" s="230"/>
      <c r="C9" s="22"/>
      <c r="D9" s="1" t="s">
        <v>3</v>
      </c>
      <c r="E9" s="8">
        <f>+E8*E7*24*365</f>
        <v>788400</v>
      </c>
      <c r="F9" s="8">
        <f>+F8*F7*24*365</f>
        <v>788400</v>
      </c>
      <c r="G9" s="8">
        <f t="shared" ref="G9:I9" si="3">+G8*G7*24*365</f>
        <v>788400</v>
      </c>
      <c r="H9" s="8">
        <f t="shared" si="3"/>
        <v>788400</v>
      </c>
      <c r="I9" s="8">
        <f t="shared" si="3"/>
        <v>788400</v>
      </c>
    </row>
    <row r="10" spans="1:9" x14ac:dyDescent="0.2">
      <c r="A10" s="184">
        <v>10</v>
      </c>
      <c r="C10" s="14"/>
      <c r="D10" s="1" t="s">
        <v>49</v>
      </c>
      <c r="E10" s="8"/>
      <c r="F10" s="8"/>
      <c r="G10" s="8"/>
      <c r="H10" s="8"/>
      <c r="I10" s="8"/>
    </row>
    <row r="11" spans="1:9" x14ac:dyDescent="0.2">
      <c r="A11" s="184">
        <v>11</v>
      </c>
      <c r="D11" s="1" t="s">
        <v>11</v>
      </c>
      <c r="E11" s="8">
        <f>+E10+E9</f>
        <v>788400</v>
      </c>
      <c r="F11" s="8">
        <f t="shared" ref="F11:I11" si="4">+F10+F9</f>
        <v>788400</v>
      </c>
      <c r="G11" s="8">
        <f t="shared" si="4"/>
        <v>788400</v>
      </c>
      <c r="H11" s="8">
        <f t="shared" si="4"/>
        <v>788400</v>
      </c>
      <c r="I11" s="8">
        <f t="shared" si="4"/>
        <v>788400</v>
      </c>
    </row>
    <row r="12" spans="1:9" ht="8.1" customHeight="1" x14ac:dyDescent="0.2"/>
    <row r="13" spans="1:9" ht="12.75" customHeight="1" x14ac:dyDescent="0.2">
      <c r="A13" s="184">
        <v>13</v>
      </c>
      <c r="B13" s="14" t="s">
        <v>88</v>
      </c>
      <c r="C13" s="46">
        <f>'Prepay Calculation'!D12</f>
        <v>0.21254411957615083</v>
      </c>
      <c r="D13" s="1" t="s">
        <v>75</v>
      </c>
      <c r="E13" s="8">
        <f>'Prepay Calculation'!D13</f>
        <v>167569.78387383732</v>
      </c>
      <c r="F13" s="8">
        <f>'Prepay Calculation'!E13</f>
        <v>156532.18387383729</v>
      </c>
      <c r="G13" s="8">
        <f>'Prepay Calculation'!F13</f>
        <v>157714.7838738373</v>
      </c>
      <c r="H13" s="8">
        <f>'Prepay Calculation'!G13</f>
        <v>159685.78387383732</v>
      </c>
      <c r="I13" s="8">
        <f>'Prepay Calculation'!H13</f>
        <v>159685.78387383732</v>
      </c>
    </row>
    <row r="14" spans="1:9" ht="12.75" customHeight="1" x14ac:dyDescent="0.2">
      <c r="A14" s="184">
        <v>14</v>
      </c>
      <c r="B14" s="203" t="s">
        <v>183</v>
      </c>
      <c r="C14" s="46">
        <f>1-C13</f>
        <v>0.78745588042384917</v>
      </c>
      <c r="D14" s="1" t="s">
        <v>76</v>
      </c>
      <c r="E14" s="8">
        <f>E11-E13</f>
        <v>620830.21612616268</v>
      </c>
      <c r="F14" s="8">
        <f t="shared" ref="F14:I14" si="5">F11-F13</f>
        <v>631867.81612616265</v>
      </c>
      <c r="G14" s="8">
        <f t="shared" si="5"/>
        <v>630685.21612616268</v>
      </c>
      <c r="H14" s="8">
        <f t="shared" si="5"/>
        <v>628714.21612616268</v>
      </c>
      <c r="I14" s="8">
        <f t="shared" si="5"/>
        <v>628714.21612616268</v>
      </c>
    </row>
    <row r="15" spans="1:9" ht="12.75" customHeight="1" x14ac:dyDescent="0.2">
      <c r="E15" s="8"/>
      <c r="F15" s="8"/>
      <c r="G15" s="8"/>
      <c r="H15" s="8"/>
      <c r="I15" s="8"/>
    </row>
    <row r="16" spans="1:9" ht="6" customHeight="1" x14ac:dyDescent="0.2">
      <c r="C16" s="6"/>
      <c r="E16" s="3"/>
      <c r="F16" s="3"/>
      <c r="G16" s="3"/>
      <c r="H16" s="3"/>
      <c r="I16" s="3"/>
    </row>
    <row r="17" spans="1:9" x14ac:dyDescent="0.2">
      <c r="C17" s="6"/>
      <c r="D17" s="18" t="s">
        <v>77</v>
      </c>
      <c r="E17" s="20"/>
      <c r="F17" s="20"/>
      <c r="G17" s="20"/>
      <c r="H17" s="20"/>
      <c r="I17" s="20"/>
    </row>
    <row r="18" spans="1:9" x14ac:dyDescent="0.2">
      <c r="A18" s="184">
        <v>18</v>
      </c>
      <c r="C18" s="6"/>
      <c r="D18" s="5" t="s">
        <v>79</v>
      </c>
      <c r="E18" s="8">
        <f>'Purchase Price and DS Calcs'!D48</f>
        <v>-1111434.455607417</v>
      </c>
      <c r="F18" s="8">
        <f>'Purchase Price and DS Calcs'!E48</f>
        <v>-1183677.6952218991</v>
      </c>
      <c r="G18" s="8">
        <f>'Purchase Price and DS Calcs'!F48</f>
        <v>-1260616.7454113225</v>
      </c>
      <c r="H18" s="8">
        <f>'Purchase Price and DS Calcs'!G48</f>
        <v>-1342556.8338630581</v>
      </c>
      <c r="I18" s="8">
        <f>'Purchase Price and DS Calcs'!H48</f>
        <v>-1429823.0280641578</v>
      </c>
    </row>
    <row r="19" spans="1:9" x14ac:dyDescent="0.2">
      <c r="C19" s="6"/>
      <c r="E19" s="8"/>
      <c r="F19" s="8"/>
      <c r="G19" s="8"/>
      <c r="H19" s="8"/>
      <c r="I19" s="8"/>
    </row>
    <row r="20" spans="1:9" x14ac:dyDescent="0.2">
      <c r="A20" s="184">
        <v>20</v>
      </c>
      <c r="C20" s="6"/>
      <c r="D20" s="5" t="s">
        <v>80</v>
      </c>
      <c r="E20" s="8">
        <f>E14</f>
        <v>620830.21612616268</v>
      </c>
      <c r="F20" s="8">
        <f t="shared" ref="F20:I20" si="6">F14</f>
        <v>631867.81612616265</v>
      </c>
      <c r="G20" s="8">
        <f t="shared" si="6"/>
        <v>630685.21612616268</v>
      </c>
      <c r="H20" s="8">
        <f t="shared" si="6"/>
        <v>628714.21612616268</v>
      </c>
      <c r="I20" s="8">
        <f t="shared" si="6"/>
        <v>628714.21612616268</v>
      </c>
    </row>
    <row r="21" spans="1:9" x14ac:dyDescent="0.2">
      <c r="A21" s="184">
        <v>21</v>
      </c>
      <c r="C21" s="48">
        <f>'Inputs '!$C$36</f>
        <v>2.2499999999999999E-2</v>
      </c>
      <c r="D21" s="1" t="s">
        <v>84</v>
      </c>
      <c r="E21" s="96">
        <v>86.443472959270437</v>
      </c>
      <c r="F21" s="76">
        <f>$E$21*((1+$C$21)^E3)</f>
        <v>88.388451100854013</v>
      </c>
      <c r="G21" s="76">
        <f t="shared" ref="G21:I21" si="7">$E$21*((1+$C$21)^F3)</f>
        <v>90.377191250623227</v>
      </c>
      <c r="H21" s="76">
        <f t="shared" si="7"/>
        <v>92.41067805376224</v>
      </c>
      <c r="I21" s="76">
        <f t="shared" si="7"/>
        <v>94.489918309971898</v>
      </c>
    </row>
    <row r="22" spans="1:9" x14ac:dyDescent="0.2">
      <c r="A22" s="184">
        <v>22</v>
      </c>
      <c r="C22" s="6"/>
      <c r="D22" s="5" t="s">
        <v>53</v>
      </c>
      <c r="E22" s="8">
        <f t="shared" ref="E22:I22" si="8">E21*E20</f>
        <v>53666719.999999963</v>
      </c>
      <c r="F22" s="8">
        <f t="shared" si="8"/>
        <v>55849817.567870744</v>
      </c>
      <c r="G22" s="8">
        <f t="shared" si="8"/>
        <v>56999558.396774851</v>
      </c>
      <c r="H22" s="8">
        <f t="shared" si="8"/>
        <v>58099907.01425831</v>
      </c>
      <c r="I22" s="8">
        <f t="shared" si="8"/>
        <v>59407154.922079131</v>
      </c>
    </row>
    <row r="23" spans="1:9" x14ac:dyDescent="0.2">
      <c r="C23" s="6"/>
      <c r="E23" s="8"/>
      <c r="F23" s="8"/>
      <c r="G23" s="8"/>
      <c r="H23" s="8"/>
      <c r="I23" s="8"/>
    </row>
    <row r="24" spans="1:9" x14ac:dyDescent="0.2">
      <c r="A24" s="184">
        <v>24</v>
      </c>
      <c r="C24" s="6"/>
      <c r="D24" s="1" t="s">
        <v>81</v>
      </c>
      <c r="E24" s="8"/>
      <c r="F24" s="8"/>
      <c r="G24" s="8"/>
      <c r="H24" s="8"/>
      <c r="I24" s="8"/>
    </row>
    <row r="25" spans="1:9" x14ac:dyDescent="0.2">
      <c r="A25" s="184">
        <v>25</v>
      </c>
      <c r="C25" s="103"/>
      <c r="D25" s="77" t="s">
        <v>58</v>
      </c>
      <c r="E25" s="8">
        <f>E11</f>
        <v>788400</v>
      </c>
      <c r="F25" s="8">
        <f t="shared" ref="F25:I25" si="9">F11</f>
        <v>788400</v>
      </c>
      <c r="G25" s="8">
        <f t="shared" si="9"/>
        <v>788400</v>
      </c>
      <c r="H25" s="8">
        <f t="shared" si="9"/>
        <v>788400</v>
      </c>
      <c r="I25" s="8">
        <f t="shared" si="9"/>
        <v>788400</v>
      </c>
    </row>
    <row r="26" spans="1:9" ht="15" x14ac:dyDescent="0.35">
      <c r="A26" s="184">
        <v>26</v>
      </c>
      <c r="C26" s="204"/>
      <c r="D26" s="77" t="s">
        <v>82</v>
      </c>
      <c r="E26" s="63">
        <f t="shared" ref="E26:I26" si="10">RECs</f>
        <v>0</v>
      </c>
      <c r="F26" s="63">
        <f t="shared" si="10"/>
        <v>0</v>
      </c>
      <c r="G26" s="63">
        <f t="shared" si="10"/>
        <v>0</v>
      </c>
      <c r="H26" s="63">
        <f t="shared" si="10"/>
        <v>0</v>
      </c>
      <c r="I26" s="63">
        <f t="shared" si="10"/>
        <v>0</v>
      </c>
    </row>
    <row r="27" spans="1:9" x14ac:dyDescent="0.2">
      <c r="A27" s="184">
        <v>27</v>
      </c>
      <c r="C27" s="204"/>
      <c r="D27" s="5" t="s">
        <v>81</v>
      </c>
      <c r="E27" s="7">
        <f>E26*E25</f>
        <v>0</v>
      </c>
      <c r="F27" s="7">
        <f t="shared" ref="F27:I27" si="11">F26*F25</f>
        <v>0</v>
      </c>
      <c r="G27" s="7">
        <f t="shared" si="11"/>
        <v>0</v>
      </c>
      <c r="H27" s="7">
        <f t="shared" si="11"/>
        <v>0</v>
      </c>
      <c r="I27" s="7">
        <f t="shared" si="11"/>
        <v>0</v>
      </c>
    </row>
    <row r="28" spans="1:9" x14ac:dyDescent="0.2">
      <c r="C28" s="204"/>
      <c r="D28" s="77"/>
      <c r="E28" s="7"/>
      <c r="F28" s="7"/>
      <c r="G28" s="7"/>
      <c r="H28" s="7"/>
      <c r="I28" s="7"/>
    </row>
    <row r="29" spans="1:9" x14ac:dyDescent="0.2">
      <c r="A29" s="184">
        <v>29</v>
      </c>
      <c r="C29" s="204"/>
      <c r="D29" s="78" t="s">
        <v>83</v>
      </c>
      <c r="E29" s="7">
        <f>E27+E22+E18</f>
        <v>52555285.544392549</v>
      </c>
      <c r="F29" s="7">
        <f t="shared" ref="F29:I29" si="12">F27+F22+F18</f>
        <v>54666139.872648843</v>
      </c>
      <c r="G29" s="7">
        <f t="shared" si="12"/>
        <v>55738941.651363529</v>
      </c>
      <c r="H29" s="7">
        <f t="shared" si="12"/>
        <v>56757350.180395253</v>
      </c>
      <c r="I29" s="7">
        <f t="shared" si="12"/>
        <v>57977331.894014969</v>
      </c>
    </row>
    <row r="30" spans="1:9" x14ac:dyDescent="0.2">
      <c r="B30" s="3"/>
      <c r="C30" s="35"/>
      <c r="D30" s="77"/>
      <c r="E30" s="7"/>
      <c r="F30" s="25"/>
      <c r="G30" s="25"/>
      <c r="H30" s="25"/>
      <c r="I30" s="25"/>
    </row>
    <row r="31" spans="1:9" ht="6" customHeight="1" x14ac:dyDescent="0.2">
      <c r="E31" s="3"/>
      <c r="F31" s="3"/>
      <c r="G31" s="3"/>
      <c r="H31" s="3"/>
      <c r="I31" s="3"/>
    </row>
    <row r="32" spans="1:9" x14ac:dyDescent="0.2">
      <c r="D32" s="18" t="s">
        <v>7</v>
      </c>
      <c r="E32" s="47"/>
      <c r="F32" s="47"/>
      <c r="G32" s="47"/>
      <c r="H32" s="47"/>
      <c r="I32" s="47"/>
    </row>
    <row r="33" spans="1:9" ht="12.75" customHeight="1" x14ac:dyDescent="0.2">
      <c r="A33" s="184">
        <v>33</v>
      </c>
      <c r="B33" s="68">
        <f>UpdatedOandMMay</f>
        <v>9000000</v>
      </c>
      <c r="C33" s="14">
        <f>'Inputs '!$D$4</f>
        <v>2.5000000000000001E-2</v>
      </c>
      <c r="D33" s="1" t="s">
        <v>66</v>
      </c>
      <c r="E33" s="7">
        <f>UpdatedOandMMay</f>
        <v>9000000</v>
      </c>
      <c r="F33" s="7">
        <f>+E33*(1+$C33)</f>
        <v>9225000</v>
      </c>
      <c r="G33" s="7">
        <f t="shared" ref="G33:I33" si="13">+F33*(1+$C33)</f>
        <v>9455625</v>
      </c>
      <c r="H33" s="7">
        <f t="shared" si="13"/>
        <v>9692015.625</v>
      </c>
      <c r="I33" s="7">
        <f t="shared" si="13"/>
        <v>9934316.015625</v>
      </c>
    </row>
    <row r="34" spans="1:9" ht="12.75" customHeight="1" x14ac:dyDescent="0.2">
      <c r="A34" s="184">
        <v>34</v>
      </c>
      <c r="B34" s="68">
        <f>UpdatedTaxesMay</f>
        <v>10000000</v>
      </c>
      <c r="C34" s="14" t="s">
        <v>50</v>
      </c>
      <c r="D34" s="1" t="s">
        <v>43</v>
      </c>
      <c r="E34" s="11">
        <f>'Prepay Calculation'!D27*'Conduit EBITDA and CF'!E11</f>
        <v>10000000</v>
      </c>
      <c r="F34" s="11">
        <f>'Prepay Calculation'!E27*'Conduit EBITDA and CF'!F11</f>
        <v>9743589.743589744</v>
      </c>
      <c r="G34" s="11">
        <f>'Prepay Calculation'!F27*'Conduit EBITDA and CF'!G11</f>
        <v>9562179.4871794879</v>
      </c>
      <c r="H34" s="11">
        <f>'Prepay Calculation'!G27*'Conduit EBITDA and CF'!H11</f>
        <v>9381096.1538461559</v>
      </c>
      <c r="I34" s="11">
        <f>'Prepay Calculation'!H27*'Conduit EBITDA and CF'!I11</f>
        <v>9200349.551282052</v>
      </c>
    </row>
    <row r="35" spans="1:9" ht="12.75" customHeight="1" x14ac:dyDescent="0.2">
      <c r="A35" s="184">
        <v>35</v>
      </c>
      <c r="B35" s="68">
        <f>UpdatedInsuranceMay</f>
        <v>1000000</v>
      </c>
      <c r="C35" s="14">
        <f>'Inputs '!$D$5</f>
        <v>2.5000000000000001E-2</v>
      </c>
      <c r="D35" s="1" t="s">
        <v>62</v>
      </c>
      <c r="E35" s="7">
        <f>B35</f>
        <v>1000000</v>
      </c>
      <c r="F35" s="7">
        <f>+E35*(1+$C35)</f>
        <v>1024999.9999999999</v>
      </c>
      <c r="G35" s="7">
        <f t="shared" ref="G35:I35" si="14">+F35*(1+$C35)</f>
        <v>1050624.9999999998</v>
      </c>
      <c r="H35" s="7">
        <f t="shared" si="14"/>
        <v>1076890.6249999998</v>
      </c>
      <c r="I35" s="7">
        <f t="shared" si="14"/>
        <v>1103812.8906249998</v>
      </c>
    </row>
    <row r="36" spans="1:9" ht="12.75" customHeight="1" x14ac:dyDescent="0.2">
      <c r="A36" s="184">
        <v>36</v>
      </c>
      <c r="B36" s="261">
        <f>'Inputs '!J16</f>
        <v>3</v>
      </c>
      <c r="C36" s="14">
        <f>'Inputs '!K16</f>
        <v>2.5000000000000001E-2</v>
      </c>
      <c r="D36" s="101" t="s">
        <v>206</v>
      </c>
      <c r="E36" s="7">
        <f>B36*E11</f>
        <v>2365200</v>
      </c>
      <c r="F36" s="7">
        <f>($B$36*F9)*((1+$C$36)^E3)</f>
        <v>2424330</v>
      </c>
      <c r="G36" s="7">
        <f t="shared" ref="G36:I36" si="15">($B$36*G9)*((1+$C$36)^F3)</f>
        <v>2484938.25</v>
      </c>
      <c r="H36" s="7">
        <f t="shared" si="15"/>
        <v>2547061.7062499998</v>
      </c>
      <c r="I36" s="7">
        <f t="shared" si="15"/>
        <v>2610738.2489062496</v>
      </c>
    </row>
    <row r="37" spans="1:9" ht="15" x14ac:dyDescent="0.35">
      <c r="A37" s="184">
        <v>37</v>
      </c>
      <c r="B37" s="68">
        <f>'Inputs '!J7*'Conduit EBITDA and CF'!E9</f>
        <v>29801519.999999996</v>
      </c>
      <c r="C37" s="14">
        <v>2.5000000000000001E-2</v>
      </c>
      <c r="D37" s="1" t="s">
        <v>42</v>
      </c>
      <c r="E37" s="63">
        <f>B38*E9</f>
        <v>29801519.999999996</v>
      </c>
      <c r="F37" s="63">
        <f>$E$37*((1+$C$37)^E3)</f>
        <v>30546557.999999993</v>
      </c>
      <c r="G37" s="63">
        <f t="shared" ref="G37:I37" si="16">$E$37*((1+$C$37)^F3)</f>
        <v>31310221.949999996</v>
      </c>
      <c r="H37" s="63">
        <f t="shared" si="16"/>
        <v>32092977.498749994</v>
      </c>
      <c r="I37" s="63">
        <f t="shared" si="16"/>
        <v>32895301.936218739</v>
      </c>
    </row>
    <row r="38" spans="1:9" ht="12.75" customHeight="1" x14ac:dyDescent="0.2">
      <c r="A38" s="184">
        <v>38</v>
      </c>
      <c r="B38" s="202">
        <f>'Inputs '!$J$7</f>
        <v>37.799999999999997</v>
      </c>
      <c r="C38" s="14"/>
      <c r="D38" s="5" t="s">
        <v>85</v>
      </c>
      <c r="E38" s="7">
        <f t="shared" ref="E38:I38" si="17">SUM(E33:E37)</f>
        <v>52166720</v>
      </c>
      <c r="F38" s="7">
        <f t="shared" si="17"/>
        <v>52964477.743589737</v>
      </c>
      <c r="G38" s="7">
        <f t="shared" si="17"/>
        <v>53863589.687179483</v>
      </c>
      <c r="H38" s="7">
        <f t="shared" si="17"/>
        <v>54790041.60884615</v>
      </c>
      <c r="I38" s="7">
        <f t="shared" si="17"/>
        <v>55744518.642657042</v>
      </c>
    </row>
    <row r="39" spans="1:9" ht="12.75" customHeight="1" x14ac:dyDescent="0.2">
      <c r="C39" s="14"/>
      <c r="E39" s="7"/>
      <c r="F39" s="7"/>
      <c r="G39" s="7"/>
      <c r="H39" s="7"/>
      <c r="I39" s="7"/>
    </row>
    <row r="40" spans="1:9" ht="3.95" customHeight="1" x14ac:dyDescent="0.2">
      <c r="C40" s="53"/>
      <c r="E40" s="7"/>
      <c r="F40" s="7"/>
      <c r="G40" s="7"/>
      <c r="H40" s="7"/>
      <c r="I40" s="7"/>
    </row>
    <row r="41" spans="1:9" hidden="1" x14ac:dyDescent="0.2">
      <c r="A41" s="184" t="s">
        <v>37</v>
      </c>
      <c r="C41" s="57">
        <v>0</v>
      </c>
      <c r="D41" s="1" t="s">
        <v>8</v>
      </c>
      <c r="E41" s="16">
        <v>0</v>
      </c>
      <c r="F41" s="3">
        <f t="shared" ref="F41:I41" si="18">+E41*(1+$C$41)</f>
        <v>0</v>
      </c>
      <c r="G41" s="3">
        <f t="shared" si="18"/>
        <v>0</v>
      </c>
      <c r="H41" s="3">
        <f t="shared" si="18"/>
        <v>0</v>
      </c>
      <c r="I41" s="3">
        <f t="shared" si="18"/>
        <v>0</v>
      </c>
    </row>
    <row r="42" spans="1:9" hidden="1" x14ac:dyDescent="0.2">
      <c r="C42" s="53"/>
      <c r="D42" s="1" t="s">
        <v>6</v>
      </c>
      <c r="E42" s="7">
        <f t="shared" ref="E42:I42" si="19">+E41*E9</f>
        <v>0</v>
      </c>
      <c r="F42" s="7">
        <f t="shared" si="19"/>
        <v>0</v>
      </c>
      <c r="G42" s="7">
        <f t="shared" si="19"/>
        <v>0</v>
      </c>
      <c r="H42" s="7">
        <f t="shared" si="19"/>
        <v>0</v>
      </c>
      <c r="I42" s="7">
        <f t="shared" si="19"/>
        <v>0</v>
      </c>
    </row>
    <row r="43" spans="1:9" ht="8.1" hidden="1" customHeight="1" x14ac:dyDescent="0.2">
      <c r="C43" s="53"/>
      <c r="E43" s="7"/>
      <c r="F43" s="7"/>
      <c r="G43" s="7"/>
      <c r="H43" s="7"/>
      <c r="I43" s="7"/>
    </row>
    <row r="44" spans="1:9" x14ac:dyDescent="0.2">
      <c r="C44" s="53"/>
      <c r="D44" s="18" t="s">
        <v>9</v>
      </c>
      <c r="E44" s="21">
        <f>E29-E38</f>
        <v>388565.5443925485</v>
      </c>
      <c r="F44" s="21">
        <f t="shared" ref="F44:I44" si="20">F29-F38</f>
        <v>1701662.1290591061</v>
      </c>
      <c r="G44" s="21">
        <f t="shared" si="20"/>
        <v>1875351.9641840458</v>
      </c>
      <c r="H44" s="21">
        <f t="shared" si="20"/>
        <v>1967308.5715491027</v>
      </c>
      <c r="I44" s="21">
        <f t="shared" si="20"/>
        <v>2232813.2513579279</v>
      </c>
    </row>
    <row r="45" spans="1:9" ht="3.95" customHeight="1" x14ac:dyDescent="0.2">
      <c r="C45" s="6"/>
      <c r="E45" s="7"/>
      <c r="F45" s="7"/>
      <c r="G45" s="7"/>
      <c r="H45" s="7"/>
      <c r="I45" s="7"/>
    </row>
    <row r="46" spans="1:9" ht="19.5" customHeight="1" x14ac:dyDescent="0.25">
      <c r="C46" s="6"/>
      <c r="D46" s="9"/>
      <c r="E46" s="9" t="str">
        <f>CONCATENATE("Conduit Income and Cash Flow ( ",$E$8*100,"%)")</f>
        <v>Conduit Income and Cash Flow ( 90%)</v>
      </c>
    </row>
    <row r="47" spans="1:9" x14ac:dyDescent="0.2">
      <c r="C47" s="6"/>
      <c r="D47" s="23" t="s">
        <v>12</v>
      </c>
      <c r="E47" s="24">
        <v>1</v>
      </c>
      <c r="F47" s="24">
        <f t="shared" ref="F47:I47" si="21">+E47+1</f>
        <v>2</v>
      </c>
      <c r="G47" s="24">
        <f t="shared" si="21"/>
        <v>3</v>
      </c>
      <c r="H47" s="24">
        <f t="shared" si="21"/>
        <v>4</v>
      </c>
      <c r="I47" s="24">
        <f t="shared" si="21"/>
        <v>5</v>
      </c>
    </row>
    <row r="48" spans="1:9" x14ac:dyDescent="0.2">
      <c r="C48" s="6"/>
      <c r="D48" s="23" t="s">
        <v>29</v>
      </c>
      <c r="E48" s="24">
        <v>2014</v>
      </c>
      <c r="F48" s="24">
        <f t="shared" ref="F48:I48" si="22">+E48+1</f>
        <v>2015</v>
      </c>
      <c r="G48" s="24">
        <f t="shared" si="22"/>
        <v>2016</v>
      </c>
      <c r="H48" s="24">
        <f t="shared" si="22"/>
        <v>2017</v>
      </c>
      <c r="I48" s="24">
        <f t="shared" si="22"/>
        <v>2018</v>
      </c>
    </row>
    <row r="49" spans="1:9" x14ac:dyDescent="0.2">
      <c r="A49" s="184">
        <v>64</v>
      </c>
      <c r="C49" s="6"/>
      <c r="D49" s="1" t="s">
        <v>32</v>
      </c>
      <c r="E49" s="7">
        <f>+E44</f>
        <v>388565.5443925485</v>
      </c>
      <c r="F49" s="7">
        <f t="shared" ref="F49:I49" si="23">+F44</f>
        <v>1701662.1290591061</v>
      </c>
      <c r="G49" s="7">
        <f t="shared" si="23"/>
        <v>1875351.9641840458</v>
      </c>
      <c r="H49" s="7">
        <f t="shared" si="23"/>
        <v>1967308.5715491027</v>
      </c>
      <c r="I49" s="7">
        <f t="shared" si="23"/>
        <v>2232813.2513579279</v>
      </c>
    </row>
    <row r="50" spans="1:9" x14ac:dyDescent="0.2">
      <c r="A50" s="184">
        <v>65</v>
      </c>
      <c r="C50" s="6"/>
      <c r="D50" s="93" t="s">
        <v>86</v>
      </c>
      <c r="E50" s="94">
        <f>-E18</f>
        <v>1111434.455607417</v>
      </c>
      <c r="F50" s="94">
        <f t="shared" ref="F50:I50" si="24">-F18</f>
        <v>1183677.6952218991</v>
      </c>
      <c r="G50" s="94">
        <f t="shared" si="24"/>
        <v>1260616.7454113225</v>
      </c>
      <c r="H50" s="94">
        <f t="shared" si="24"/>
        <v>1342556.8338630581</v>
      </c>
      <c r="I50" s="94">
        <f t="shared" si="24"/>
        <v>1429823.0280641578</v>
      </c>
    </row>
    <row r="51" spans="1:9" x14ac:dyDescent="0.2">
      <c r="A51" s="184">
        <v>66</v>
      </c>
      <c r="C51" s="6"/>
      <c r="D51" s="1" t="s">
        <v>23</v>
      </c>
      <c r="E51" s="7">
        <f t="shared" ref="E51:I51" si="25">-E69</f>
        <v>0</v>
      </c>
      <c r="F51" s="7">
        <f t="shared" si="25"/>
        <v>-3000000</v>
      </c>
      <c r="G51" s="7">
        <f t="shared" si="25"/>
        <v>-3090000</v>
      </c>
      <c r="H51" s="7">
        <f t="shared" si="25"/>
        <v>-3182700</v>
      </c>
      <c r="I51" s="7">
        <f t="shared" si="25"/>
        <v>-3278181</v>
      </c>
    </row>
    <row r="52" spans="1:9" x14ac:dyDescent="0.2">
      <c r="A52" s="184">
        <v>67</v>
      </c>
      <c r="C52" s="6"/>
      <c r="D52" s="1" t="s">
        <v>47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9" x14ac:dyDescent="0.2">
      <c r="A53" s="184">
        <v>68</v>
      </c>
      <c r="B53" s="11">
        <f>OandMLOCAmount</f>
        <v>0</v>
      </c>
      <c r="C53" s="6">
        <f>OandMLOCFee</f>
        <v>0</v>
      </c>
      <c r="D53" s="1" t="s">
        <v>92</v>
      </c>
      <c r="E53" s="7">
        <f t="shared" ref="E53:I53" si="26">-$C$53*$B$53</f>
        <v>0</v>
      </c>
      <c r="F53" s="7">
        <f t="shared" si="26"/>
        <v>0</v>
      </c>
      <c r="G53" s="7">
        <f t="shared" si="26"/>
        <v>0</v>
      </c>
      <c r="H53" s="7">
        <f t="shared" si="26"/>
        <v>0</v>
      </c>
      <c r="I53" s="7">
        <f t="shared" si="26"/>
        <v>0</v>
      </c>
    </row>
    <row r="54" spans="1:9" x14ac:dyDescent="0.2">
      <c r="E54" s="7"/>
      <c r="F54" s="7"/>
      <c r="G54" s="7"/>
      <c r="H54" s="7"/>
      <c r="I54" s="7"/>
    </row>
    <row r="55" spans="1:9" x14ac:dyDescent="0.2">
      <c r="A55" s="184">
        <v>70</v>
      </c>
      <c r="B55" s="11"/>
      <c r="C55" s="50"/>
      <c r="D55" s="5" t="s">
        <v>34</v>
      </c>
      <c r="E55" s="7">
        <f>E49+E50+E51+E52+E53</f>
        <v>1499999.9999999655</v>
      </c>
      <c r="F55" s="7">
        <f t="shared" ref="F55:I55" si="27">F49+F50+F51+F52+F53</f>
        <v>-114660.17571899481</v>
      </c>
      <c r="G55" s="7">
        <f t="shared" si="27"/>
        <v>45968.709595368244</v>
      </c>
      <c r="H55" s="7">
        <f t="shared" si="27"/>
        <v>127165.40541216079</v>
      </c>
      <c r="I55" s="7">
        <f t="shared" si="27"/>
        <v>384455.27942208573</v>
      </c>
    </row>
    <row r="56" spans="1:9" ht="12" customHeight="1" x14ac:dyDescent="0.2">
      <c r="A56" s="184">
        <v>71</v>
      </c>
      <c r="B56" s="11"/>
      <c r="C56" s="6"/>
      <c r="D56" s="5" t="s">
        <v>48</v>
      </c>
      <c r="E56" s="7">
        <v>0</v>
      </c>
      <c r="F56" s="7"/>
      <c r="G56" s="7"/>
      <c r="H56" s="7"/>
      <c r="I56" s="7"/>
    </row>
    <row r="57" spans="1:9" x14ac:dyDescent="0.2">
      <c r="A57" s="184">
        <v>72</v>
      </c>
      <c r="B57" s="69"/>
      <c r="C57" s="6"/>
      <c r="D57" s="5" t="s">
        <v>54</v>
      </c>
      <c r="E57" s="7">
        <v>0</v>
      </c>
      <c r="F57" s="7"/>
      <c r="G57" s="7"/>
      <c r="H57" s="7"/>
      <c r="I57" s="7"/>
    </row>
    <row r="58" spans="1:9" x14ac:dyDescent="0.2">
      <c r="A58" s="184">
        <v>73</v>
      </c>
      <c r="C58" s="14"/>
      <c r="D58" s="5" t="s">
        <v>35</v>
      </c>
      <c r="E58" s="7">
        <f>+E55-E57+E56</f>
        <v>1499999.9999999655</v>
      </c>
      <c r="F58" s="7">
        <f t="shared" ref="F58:I58" si="28">+F55-F57+F56</f>
        <v>-114660.17571899481</v>
      </c>
      <c r="G58" s="7">
        <f t="shared" si="28"/>
        <v>45968.709595368244</v>
      </c>
      <c r="H58" s="7">
        <f t="shared" si="28"/>
        <v>127165.40541216079</v>
      </c>
      <c r="I58" s="7">
        <f t="shared" si="28"/>
        <v>384455.27942208573</v>
      </c>
    </row>
    <row r="59" spans="1:9" ht="13.5" thickBot="1" x14ac:dyDescent="0.25">
      <c r="C59" s="14"/>
      <c r="D59" s="5"/>
      <c r="E59" s="7"/>
      <c r="F59" s="7"/>
      <c r="G59" s="7"/>
      <c r="H59" s="7"/>
      <c r="I59" s="7"/>
    </row>
    <row r="60" spans="1:9" x14ac:dyDescent="0.2">
      <c r="A60" s="184">
        <v>75</v>
      </c>
      <c r="B60" s="243"/>
      <c r="C60" s="14"/>
      <c r="D60" s="347" t="s">
        <v>215</v>
      </c>
      <c r="E60" s="97">
        <v>1500000</v>
      </c>
      <c r="F60" s="7"/>
      <c r="G60" s="7"/>
      <c r="H60" s="7"/>
      <c r="I60" s="7"/>
    </row>
    <row r="61" spans="1:9" x14ac:dyDescent="0.2">
      <c r="A61" s="184">
        <v>76</v>
      </c>
      <c r="C61" s="14"/>
      <c r="D61" s="348"/>
      <c r="E61" s="98">
        <f>E38+E60</f>
        <v>53666720</v>
      </c>
      <c r="F61" s="7"/>
      <c r="G61" s="7"/>
      <c r="H61" s="7"/>
      <c r="I61" s="7"/>
    </row>
    <row r="62" spans="1:9" ht="13.5" thickBot="1" x14ac:dyDescent="0.25">
      <c r="A62" s="184">
        <v>77</v>
      </c>
      <c r="C62" s="14"/>
      <c r="D62" s="100" t="s">
        <v>94</v>
      </c>
      <c r="E62" s="99">
        <f>E61-E22</f>
        <v>0</v>
      </c>
      <c r="F62" s="7"/>
      <c r="G62" s="7"/>
      <c r="H62" s="7"/>
      <c r="I62" s="7"/>
    </row>
    <row r="63" spans="1:9" x14ac:dyDescent="0.2">
      <c r="C63" s="14"/>
      <c r="D63" s="5"/>
      <c r="E63" s="7"/>
      <c r="F63" s="7"/>
      <c r="G63" s="7"/>
      <c r="H63" s="7"/>
      <c r="I63" s="7"/>
    </row>
    <row r="64" spans="1:9" x14ac:dyDescent="0.2">
      <c r="C64" s="14"/>
      <c r="D64" s="5"/>
      <c r="E64" s="7"/>
      <c r="F64" s="7"/>
      <c r="G64" s="7"/>
      <c r="H64" s="7"/>
      <c r="I64" s="7"/>
    </row>
    <row r="65" spans="1:9" x14ac:dyDescent="0.2">
      <c r="C65" s="6"/>
      <c r="E65" s="17"/>
      <c r="F65" s="7"/>
      <c r="G65" s="7"/>
      <c r="H65" s="7"/>
      <c r="I65" s="7"/>
    </row>
    <row r="66" spans="1:9" x14ac:dyDescent="0.2">
      <c r="C66" s="6"/>
      <c r="D66" s="18" t="s">
        <v>36</v>
      </c>
      <c r="E66" s="47">
        <f>E4</f>
        <v>2014</v>
      </c>
      <c r="F66" s="47">
        <f t="shared" ref="F66:I66" si="29">F4</f>
        <v>2015</v>
      </c>
      <c r="G66" s="47">
        <f t="shared" si="29"/>
        <v>2016</v>
      </c>
      <c r="H66" s="47">
        <f t="shared" si="29"/>
        <v>2017</v>
      </c>
      <c r="I66" s="47">
        <f t="shared" si="29"/>
        <v>2018</v>
      </c>
    </row>
    <row r="67" spans="1:9" x14ac:dyDescent="0.2">
      <c r="A67" s="184">
        <v>82</v>
      </c>
      <c r="C67" s="14">
        <v>0.03</v>
      </c>
      <c r="D67" s="1" t="s">
        <v>10</v>
      </c>
      <c r="E67" s="15">
        <v>0</v>
      </c>
      <c r="F67" s="15">
        <f>AnnualCapitalInvestment</f>
        <v>3000000</v>
      </c>
      <c r="G67" s="15">
        <f>+F67*(1+$C$67)</f>
        <v>3090000</v>
      </c>
      <c r="H67" s="15">
        <f t="shared" ref="H67:I67" si="30">+G67*(1+$C$67)</f>
        <v>3182700</v>
      </c>
      <c r="I67" s="15">
        <f t="shared" si="30"/>
        <v>3278181</v>
      </c>
    </row>
    <row r="68" spans="1:9" x14ac:dyDescent="0.2">
      <c r="A68" s="184">
        <v>83</v>
      </c>
      <c r="C68" s="14"/>
      <c r="D68" s="1" t="s">
        <v>14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</row>
    <row r="69" spans="1:9" x14ac:dyDescent="0.2">
      <c r="A69" s="184">
        <v>84</v>
      </c>
      <c r="C69" s="6"/>
      <c r="D69" s="1" t="s">
        <v>30</v>
      </c>
      <c r="E69" s="7">
        <f>+E67-E68</f>
        <v>0</v>
      </c>
      <c r="F69" s="7">
        <f t="shared" ref="F69:I69" si="31">+F67-F68</f>
        <v>3000000</v>
      </c>
      <c r="G69" s="7">
        <f t="shared" si="31"/>
        <v>3090000</v>
      </c>
      <c r="H69" s="7">
        <f t="shared" si="31"/>
        <v>3182700</v>
      </c>
      <c r="I69" s="7">
        <f t="shared" si="31"/>
        <v>3278181</v>
      </c>
    </row>
    <row r="70" spans="1:9" x14ac:dyDescent="0.2">
      <c r="C70" s="6"/>
      <c r="E70" s="7"/>
      <c r="F70" s="7"/>
      <c r="G70" s="7"/>
      <c r="H70" s="7"/>
      <c r="I70" s="7"/>
    </row>
  </sheetData>
  <dataConsolidate/>
  <mergeCells count="1">
    <mergeCell ref="D60:D61"/>
  </mergeCells>
  <printOptions horizontalCentered="1"/>
  <pageMargins left="0.45" right="0.45" top="0.75" bottom="0.5" header="0.3" footer="0.3"/>
  <pageSetup scale="83" pageOrder="overThenDown" orientation="landscape" r:id="rId1"/>
  <headerFooter differentOddEven="1">
    <oddHeader>&amp;CDraft Conduit EBITDA and Cash Flow
As of September 19, 2013</oddHeader>
    <oddFooter>&amp;CDraft Conduit EBITDA and Cash Flow, As of September 19, 2013, Page &amp;P</oddFooter>
  </headerFooter>
  <rowBreaks count="1" manualBreakCount="1">
    <brk id="45" max="3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/>
  <dimension ref="A1:AJ62"/>
  <sheetViews>
    <sheetView tabSelected="1" topLeftCell="A27" zoomScaleNormal="100" workbookViewId="0">
      <selection activeCell="E54" sqref="E54"/>
    </sheetView>
  </sheetViews>
  <sheetFormatPr defaultRowHeight="12.75" x14ac:dyDescent="0.2"/>
  <cols>
    <col min="1" max="1" width="10.33203125" style="1" bestFit="1" customWidth="1"/>
    <col min="2" max="2" width="21.5" style="66" bestFit="1" customWidth="1"/>
    <col min="3" max="3" width="20" style="1" bestFit="1" customWidth="1"/>
    <col min="4" max="4" width="37.33203125" style="1" customWidth="1"/>
    <col min="5" max="34" width="14.83203125" style="1" customWidth="1"/>
    <col min="35" max="36" width="14.83203125" style="1" hidden="1" customWidth="1"/>
    <col min="37" max="40" width="14.83203125" style="1" customWidth="1"/>
    <col min="41" max="43" width="13.83203125" style="1" customWidth="1"/>
    <col min="44" max="44" width="12.83203125" style="1" customWidth="1"/>
    <col min="45" max="16384" width="9.33203125" style="1"/>
  </cols>
  <sheetData>
    <row r="1" spans="1:36" x14ac:dyDescent="0.2">
      <c r="E1" s="7"/>
    </row>
    <row r="2" spans="1:36" ht="15.75" x14ac:dyDescent="0.25">
      <c r="D2" s="9" t="str">
        <f>CONCATENATE("Benefits to GRU, ",E8*100,"% Availability, $",'Purchase Price and DS Calcs'!E3/1000000," million Gross Purchase Price")</f>
        <v>Benefits to GRU, 90% Availability, $0 million Gross Purchase Price</v>
      </c>
      <c r="K2" s="9" t="str">
        <f>$D$2</f>
        <v>Benefits to GRU, 90% Availability, $0 million Gross Purchase Price</v>
      </c>
      <c r="T2" s="9" t="str">
        <f>$D$2</f>
        <v>Benefits to GRU, 90% Availability, $0 million Gross Purchase Price</v>
      </c>
      <c r="X2" s="9"/>
      <c r="AC2" s="9" t="str">
        <f>$D$2</f>
        <v>Benefits to GRU, 90% Availability, $0 million Gross Purchase Price</v>
      </c>
      <c r="AF2" s="9"/>
    </row>
    <row r="3" spans="1:36" x14ac:dyDescent="0.2">
      <c r="B3" s="67"/>
      <c r="D3" s="23" t="s">
        <v>12</v>
      </c>
      <c r="E3" s="24">
        <v>1</v>
      </c>
      <c r="F3" s="24">
        <f>+E3+1</f>
        <v>2</v>
      </c>
      <c r="G3" s="24">
        <f t="shared" ref="G3:V4" si="0">+F3+1</f>
        <v>3</v>
      </c>
      <c r="H3" s="24">
        <f t="shared" si="0"/>
        <v>4</v>
      </c>
      <c r="I3" s="24">
        <f t="shared" si="0"/>
        <v>5</v>
      </c>
      <c r="J3" s="24">
        <f t="shared" si="0"/>
        <v>6</v>
      </c>
      <c r="K3" s="24">
        <f t="shared" si="0"/>
        <v>7</v>
      </c>
      <c r="L3" s="24">
        <f t="shared" si="0"/>
        <v>8</v>
      </c>
      <c r="M3" s="24">
        <f t="shared" si="0"/>
        <v>9</v>
      </c>
      <c r="N3" s="24">
        <f t="shared" si="0"/>
        <v>10</v>
      </c>
      <c r="O3" s="24">
        <f t="shared" si="0"/>
        <v>11</v>
      </c>
      <c r="P3" s="24">
        <f t="shared" si="0"/>
        <v>12</v>
      </c>
      <c r="Q3" s="24">
        <f t="shared" si="0"/>
        <v>13</v>
      </c>
      <c r="R3" s="24">
        <f t="shared" si="0"/>
        <v>14</v>
      </c>
      <c r="S3" s="24">
        <f t="shared" si="0"/>
        <v>15</v>
      </c>
      <c r="T3" s="24">
        <f t="shared" si="0"/>
        <v>16</v>
      </c>
      <c r="U3" s="24">
        <f t="shared" si="0"/>
        <v>17</v>
      </c>
      <c r="V3" s="24">
        <f t="shared" si="0"/>
        <v>18</v>
      </c>
      <c r="W3" s="24">
        <f t="shared" ref="W3:AJ4" si="1">+V3+1</f>
        <v>19</v>
      </c>
      <c r="X3" s="24">
        <f t="shared" si="1"/>
        <v>20</v>
      </c>
      <c r="Y3" s="24">
        <f t="shared" si="1"/>
        <v>21</v>
      </c>
      <c r="Z3" s="24">
        <f t="shared" si="1"/>
        <v>22</v>
      </c>
      <c r="AA3" s="24">
        <f t="shared" si="1"/>
        <v>23</v>
      </c>
      <c r="AB3" s="24">
        <f t="shared" si="1"/>
        <v>24</v>
      </c>
      <c r="AC3" s="24">
        <f t="shared" si="1"/>
        <v>25</v>
      </c>
      <c r="AD3" s="24">
        <f t="shared" si="1"/>
        <v>26</v>
      </c>
      <c r="AE3" s="24">
        <f t="shared" si="1"/>
        <v>27</v>
      </c>
      <c r="AF3" s="24">
        <f t="shared" si="1"/>
        <v>28</v>
      </c>
      <c r="AG3" s="24">
        <f t="shared" si="1"/>
        <v>29</v>
      </c>
      <c r="AH3" s="24">
        <f t="shared" si="1"/>
        <v>30</v>
      </c>
      <c r="AI3" s="24">
        <f t="shared" si="1"/>
        <v>31</v>
      </c>
      <c r="AJ3" s="24">
        <f t="shared" si="1"/>
        <v>32</v>
      </c>
    </row>
    <row r="4" spans="1:36" x14ac:dyDescent="0.2">
      <c r="A4" s="184" t="s">
        <v>142</v>
      </c>
      <c r="D4" s="23" t="s">
        <v>29</v>
      </c>
      <c r="E4" s="24">
        <v>2014</v>
      </c>
      <c r="F4" s="24">
        <f>+E4+1</f>
        <v>2015</v>
      </c>
      <c r="G4" s="24">
        <f t="shared" si="0"/>
        <v>2016</v>
      </c>
      <c r="H4" s="24">
        <f t="shared" si="0"/>
        <v>2017</v>
      </c>
      <c r="I4" s="24">
        <f t="shared" si="0"/>
        <v>2018</v>
      </c>
      <c r="J4" s="24">
        <f t="shared" si="0"/>
        <v>2019</v>
      </c>
      <c r="K4" s="24">
        <f t="shared" si="0"/>
        <v>2020</v>
      </c>
      <c r="L4" s="24">
        <f t="shared" si="0"/>
        <v>2021</v>
      </c>
      <c r="M4" s="24">
        <f t="shared" si="0"/>
        <v>2022</v>
      </c>
      <c r="N4" s="24">
        <f t="shared" si="0"/>
        <v>2023</v>
      </c>
      <c r="O4" s="24">
        <f t="shared" si="0"/>
        <v>2024</v>
      </c>
      <c r="P4" s="24">
        <f t="shared" si="0"/>
        <v>2025</v>
      </c>
      <c r="Q4" s="24">
        <f t="shared" si="0"/>
        <v>2026</v>
      </c>
      <c r="R4" s="24">
        <f t="shared" si="0"/>
        <v>2027</v>
      </c>
      <c r="S4" s="24">
        <f t="shared" si="0"/>
        <v>2028</v>
      </c>
      <c r="T4" s="24">
        <f t="shared" si="0"/>
        <v>2029</v>
      </c>
      <c r="U4" s="24">
        <f t="shared" si="0"/>
        <v>2030</v>
      </c>
      <c r="V4" s="24">
        <f t="shared" si="0"/>
        <v>2031</v>
      </c>
      <c r="W4" s="24">
        <f t="shared" si="1"/>
        <v>2032</v>
      </c>
      <c r="X4" s="24">
        <f t="shared" si="1"/>
        <v>2033</v>
      </c>
      <c r="Y4" s="24">
        <f t="shared" si="1"/>
        <v>2034</v>
      </c>
      <c r="Z4" s="24">
        <f t="shared" si="1"/>
        <v>2035</v>
      </c>
      <c r="AA4" s="24">
        <f t="shared" si="1"/>
        <v>2036</v>
      </c>
      <c r="AB4" s="24">
        <f t="shared" si="1"/>
        <v>2037</v>
      </c>
      <c r="AC4" s="24">
        <f t="shared" si="1"/>
        <v>2038</v>
      </c>
      <c r="AD4" s="24">
        <f t="shared" si="1"/>
        <v>2039</v>
      </c>
      <c r="AE4" s="24">
        <f t="shared" si="1"/>
        <v>2040</v>
      </c>
      <c r="AF4" s="24">
        <f t="shared" si="1"/>
        <v>2041</v>
      </c>
      <c r="AG4" s="24">
        <f t="shared" si="1"/>
        <v>2042</v>
      </c>
      <c r="AH4" s="24">
        <f t="shared" si="1"/>
        <v>2043</v>
      </c>
      <c r="AI4" s="24">
        <f t="shared" si="1"/>
        <v>2044</v>
      </c>
      <c r="AJ4" s="24">
        <f t="shared" si="1"/>
        <v>2045</v>
      </c>
    </row>
    <row r="5" spans="1:36" ht="3.95" customHeight="1" x14ac:dyDescent="0.2"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</row>
    <row r="6" spans="1:36" x14ac:dyDescent="0.2">
      <c r="D6" s="18" t="s">
        <v>4</v>
      </c>
      <c r="E6" s="19"/>
      <c r="F6" s="19"/>
      <c r="G6" s="19"/>
      <c r="H6" s="19"/>
      <c r="I6" s="19"/>
      <c r="J6" s="19"/>
      <c r="K6" s="18" t="str">
        <f>D6</f>
        <v>ASSET PERFORMANCE</v>
      </c>
      <c r="L6" s="19"/>
      <c r="M6" s="19"/>
      <c r="N6" s="19"/>
      <c r="O6" s="19"/>
      <c r="P6" s="19"/>
      <c r="Q6" s="19"/>
      <c r="R6" s="19"/>
      <c r="S6" s="19"/>
      <c r="T6" s="18" t="str">
        <f>D6</f>
        <v>ASSET PERFORMANCE</v>
      </c>
      <c r="U6" s="19"/>
      <c r="V6" s="19"/>
      <c r="W6" s="19"/>
      <c r="X6" s="19"/>
      <c r="Y6" s="19"/>
      <c r="Z6" s="19"/>
      <c r="AA6" s="19"/>
      <c r="AB6" s="19"/>
      <c r="AC6" s="18" t="str">
        <f>D6</f>
        <v>ASSET PERFORMANCE</v>
      </c>
      <c r="AD6" s="19"/>
      <c r="AE6" s="19"/>
      <c r="AF6" s="19"/>
      <c r="AG6" s="19"/>
      <c r="AH6" s="19"/>
      <c r="AI6" s="19"/>
      <c r="AJ6" s="19"/>
    </row>
    <row r="7" spans="1:36" x14ac:dyDescent="0.2">
      <c r="A7" s="184">
        <v>7</v>
      </c>
      <c r="C7" s="75"/>
      <c r="D7" s="62" t="s">
        <v>1</v>
      </c>
      <c r="E7" s="73">
        <f t="shared" ref="E7:AH7" si="2">ScenarioCapacity</f>
        <v>100</v>
      </c>
      <c r="F7" s="73">
        <f t="shared" si="2"/>
        <v>100</v>
      </c>
      <c r="G7" s="73">
        <f t="shared" si="2"/>
        <v>100</v>
      </c>
      <c r="H7" s="73">
        <f t="shared" si="2"/>
        <v>100</v>
      </c>
      <c r="I7" s="73">
        <f t="shared" si="2"/>
        <v>100</v>
      </c>
      <c r="J7" s="73">
        <f t="shared" si="2"/>
        <v>100</v>
      </c>
      <c r="K7" s="73">
        <f t="shared" si="2"/>
        <v>100</v>
      </c>
      <c r="L7" s="73">
        <f t="shared" si="2"/>
        <v>100</v>
      </c>
      <c r="M7" s="73">
        <f t="shared" si="2"/>
        <v>100</v>
      </c>
      <c r="N7" s="73">
        <f t="shared" si="2"/>
        <v>100</v>
      </c>
      <c r="O7" s="73">
        <f t="shared" si="2"/>
        <v>100</v>
      </c>
      <c r="P7" s="73">
        <f t="shared" si="2"/>
        <v>100</v>
      </c>
      <c r="Q7" s="73">
        <f t="shared" si="2"/>
        <v>100</v>
      </c>
      <c r="R7" s="73">
        <f t="shared" si="2"/>
        <v>100</v>
      </c>
      <c r="S7" s="73">
        <f t="shared" si="2"/>
        <v>100</v>
      </c>
      <c r="T7" s="73">
        <f t="shared" si="2"/>
        <v>100</v>
      </c>
      <c r="U7" s="73">
        <f t="shared" si="2"/>
        <v>100</v>
      </c>
      <c r="V7" s="73">
        <f t="shared" si="2"/>
        <v>100</v>
      </c>
      <c r="W7" s="73">
        <f t="shared" si="2"/>
        <v>100</v>
      </c>
      <c r="X7" s="73">
        <f t="shared" si="2"/>
        <v>100</v>
      </c>
      <c r="Y7" s="73">
        <f t="shared" si="2"/>
        <v>100</v>
      </c>
      <c r="Z7" s="73">
        <f t="shared" si="2"/>
        <v>100</v>
      </c>
      <c r="AA7" s="73">
        <f t="shared" si="2"/>
        <v>100</v>
      </c>
      <c r="AB7" s="73">
        <f t="shared" si="2"/>
        <v>100</v>
      </c>
      <c r="AC7" s="73">
        <f t="shared" si="2"/>
        <v>100</v>
      </c>
      <c r="AD7" s="73">
        <f t="shared" si="2"/>
        <v>100</v>
      </c>
      <c r="AE7" s="73">
        <f t="shared" si="2"/>
        <v>100</v>
      </c>
      <c r="AF7" s="73">
        <f t="shared" si="2"/>
        <v>100</v>
      </c>
      <c r="AG7" s="73">
        <f t="shared" si="2"/>
        <v>100</v>
      </c>
      <c r="AH7" s="73">
        <f t="shared" si="2"/>
        <v>100</v>
      </c>
      <c r="AI7" s="66">
        <f>+AH7</f>
        <v>100</v>
      </c>
      <c r="AJ7" s="66">
        <f>+AI7</f>
        <v>100</v>
      </c>
    </row>
    <row r="8" spans="1:36" x14ac:dyDescent="0.2">
      <c r="A8" s="184">
        <v>8</v>
      </c>
      <c r="C8" s="228"/>
      <c r="D8" s="1" t="s">
        <v>2</v>
      </c>
      <c r="E8" s="13">
        <f t="shared" ref="E8:AH8" si="3">ScenarioAvailability</f>
        <v>0.9</v>
      </c>
      <c r="F8" s="13">
        <f t="shared" si="3"/>
        <v>0.9</v>
      </c>
      <c r="G8" s="13">
        <f t="shared" si="3"/>
        <v>0.9</v>
      </c>
      <c r="H8" s="13">
        <f t="shared" si="3"/>
        <v>0.9</v>
      </c>
      <c r="I8" s="13">
        <f t="shared" si="3"/>
        <v>0.9</v>
      </c>
      <c r="J8" s="13">
        <f t="shared" si="3"/>
        <v>0.9</v>
      </c>
      <c r="K8" s="13">
        <f t="shared" si="3"/>
        <v>0.9</v>
      </c>
      <c r="L8" s="13">
        <f t="shared" si="3"/>
        <v>0.9</v>
      </c>
      <c r="M8" s="13">
        <f t="shared" si="3"/>
        <v>0.9</v>
      </c>
      <c r="N8" s="13">
        <f t="shared" si="3"/>
        <v>0.9</v>
      </c>
      <c r="O8" s="13">
        <f t="shared" si="3"/>
        <v>0.9</v>
      </c>
      <c r="P8" s="13">
        <f t="shared" si="3"/>
        <v>0.9</v>
      </c>
      <c r="Q8" s="13">
        <f t="shared" si="3"/>
        <v>0.9</v>
      </c>
      <c r="R8" s="13">
        <f t="shared" si="3"/>
        <v>0.9</v>
      </c>
      <c r="S8" s="13">
        <f t="shared" si="3"/>
        <v>0.9</v>
      </c>
      <c r="T8" s="13">
        <f t="shared" si="3"/>
        <v>0.9</v>
      </c>
      <c r="U8" s="13">
        <f t="shared" si="3"/>
        <v>0.9</v>
      </c>
      <c r="V8" s="13">
        <f t="shared" si="3"/>
        <v>0.9</v>
      </c>
      <c r="W8" s="13">
        <f t="shared" si="3"/>
        <v>0.9</v>
      </c>
      <c r="X8" s="13">
        <f t="shared" si="3"/>
        <v>0.9</v>
      </c>
      <c r="Y8" s="13">
        <f t="shared" si="3"/>
        <v>0.9</v>
      </c>
      <c r="Z8" s="13">
        <f t="shared" si="3"/>
        <v>0.9</v>
      </c>
      <c r="AA8" s="13">
        <f t="shared" si="3"/>
        <v>0.9</v>
      </c>
      <c r="AB8" s="13">
        <f t="shared" si="3"/>
        <v>0.9</v>
      </c>
      <c r="AC8" s="13">
        <f t="shared" si="3"/>
        <v>0.9</v>
      </c>
      <c r="AD8" s="13">
        <f t="shared" si="3"/>
        <v>0.9</v>
      </c>
      <c r="AE8" s="13">
        <f t="shared" si="3"/>
        <v>0.9</v>
      </c>
      <c r="AF8" s="13">
        <f t="shared" si="3"/>
        <v>0.9</v>
      </c>
      <c r="AG8" s="13">
        <f t="shared" si="3"/>
        <v>0.9</v>
      </c>
      <c r="AH8" s="13">
        <f t="shared" si="3"/>
        <v>0.9</v>
      </c>
      <c r="AI8" s="4">
        <f>+AH8</f>
        <v>0.9</v>
      </c>
      <c r="AJ8" s="4">
        <f>+AI8</f>
        <v>0.9</v>
      </c>
    </row>
    <row r="9" spans="1:36" x14ac:dyDescent="0.2">
      <c r="A9" s="184">
        <v>9</v>
      </c>
      <c r="D9" s="1" t="s">
        <v>3</v>
      </c>
      <c r="E9" s="8">
        <f>+E8*E7*24*365</f>
        <v>788400</v>
      </c>
      <c r="F9" s="8">
        <f>+F8*F7*24*365</f>
        <v>788400</v>
      </c>
      <c r="G9" s="8">
        <f t="shared" ref="G9:AJ9" si="4">+G8*G7*24*365</f>
        <v>788400</v>
      </c>
      <c r="H9" s="8">
        <f t="shared" si="4"/>
        <v>788400</v>
      </c>
      <c r="I9" s="8">
        <f t="shared" si="4"/>
        <v>788400</v>
      </c>
      <c r="J9" s="8">
        <f t="shared" si="4"/>
        <v>788400</v>
      </c>
      <c r="K9" s="8">
        <f t="shared" si="4"/>
        <v>788400</v>
      </c>
      <c r="L9" s="8">
        <f t="shared" si="4"/>
        <v>788400</v>
      </c>
      <c r="M9" s="8">
        <f t="shared" si="4"/>
        <v>788400</v>
      </c>
      <c r="N9" s="8">
        <f t="shared" si="4"/>
        <v>788400</v>
      </c>
      <c r="O9" s="8">
        <f t="shared" si="4"/>
        <v>788400</v>
      </c>
      <c r="P9" s="8">
        <f t="shared" si="4"/>
        <v>788400</v>
      </c>
      <c r="Q9" s="8">
        <f t="shared" si="4"/>
        <v>788400</v>
      </c>
      <c r="R9" s="8">
        <f t="shared" si="4"/>
        <v>788400</v>
      </c>
      <c r="S9" s="8">
        <f t="shared" si="4"/>
        <v>788400</v>
      </c>
      <c r="T9" s="8">
        <f t="shared" si="4"/>
        <v>788400</v>
      </c>
      <c r="U9" s="8">
        <f t="shared" si="4"/>
        <v>788400</v>
      </c>
      <c r="V9" s="8">
        <f t="shared" si="4"/>
        <v>788400</v>
      </c>
      <c r="W9" s="8">
        <f t="shared" si="4"/>
        <v>788400</v>
      </c>
      <c r="X9" s="8">
        <f t="shared" si="4"/>
        <v>788400</v>
      </c>
      <c r="Y9" s="8">
        <f t="shared" si="4"/>
        <v>788400</v>
      </c>
      <c r="Z9" s="8">
        <f t="shared" si="4"/>
        <v>788400</v>
      </c>
      <c r="AA9" s="8">
        <f t="shared" si="4"/>
        <v>788400</v>
      </c>
      <c r="AB9" s="8">
        <f t="shared" si="4"/>
        <v>788400</v>
      </c>
      <c r="AC9" s="8">
        <f t="shared" si="4"/>
        <v>788400</v>
      </c>
      <c r="AD9" s="8">
        <f t="shared" si="4"/>
        <v>788400</v>
      </c>
      <c r="AE9" s="8">
        <f t="shared" si="4"/>
        <v>788400</v>
      </c>
      <c r="AF9" s="8">
        <f t="shared" si="4"/>
        <v>788400</v>
      </c>
      <c r="AG9" s="8">
        <f t="shared" si="4"/>
        <v>788400</v>
      </c>
      <c r="AH9" s="8">
        <f t="shared" si="4"/>
        <v>788400</v>
      </c>
      <c r="AI9" s="8">
        <f t="shared" si="4"/>
        <v>788400</v>
      </c>
      <c r="AJ9" s="8">
        <f t="shared" si="4"/>
        <v>788400</v>
      </c>
    </row>
    <row r="10" spans="1:36" x14ac:dyDescent="0.2">
      <c r="A10" s="184">
        <v>10</v>
      </c>
      <c r="C10" s="14" t="s">
        <v>67</v>
      </c>
      <c r="D10" s="1" t="s">
        <v>49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x14ac:dyDescent="0.2">
      <c r="A11" s="184">
        <v>11</v>
      </c>
      <c r="D11" s="5" t="s">
        <v>11</v>
      </c>
      <c r="E11" s="8">
        <f>+E10+E9</f>
        <v>788400</v>
      </c>
      <c r="F11" s="8">
        <f t="shared" ref="F11:AJ11" si="5">+F10+F9</f>
        <v>788400</v>
      </c>
      <c r="G11" s="8">
        <f t="shared" si="5"/>
        <v>788400</v>
      </c>
      <c r="H11" s="8">
        <f t="shared" si="5"/>
        <v>788400</v>
      </c>
      <c r="I11" s="8">
        <f t="shared" si="5"/>
        <v>788400</v>
      </c>
      <c r="J11" s="8">
        <f t="shared" si="5"/>
        <v>788400</v>
      </c>
      <c r="K11" s="8">
        <f t="shared" si="5"/>
        <v>788400</v>
      </c>
      <c r="L11" s="8">
        <f t="shared" si="5"/>
        <v>788400</v>
      </c>
      <c r="M11" s="8">
        <f t="shared" si="5"/>
        <v>788400</v>
      </c>
      <c r="N11" s="8">
        <f t="shared" si="5"/>
        <v>788400</v>
      </c>
      <c r="O11" s="8">
        <f t="shared" si="5"/>
        <v>788400</v>
      </c>
      <c r="P11" s="8">
        <f t="shared" si="5"/>
        <v>788400</v>
      </c>
      <c r="Q11" s="8">
        <f t="shared" si="5"/>
        <v>788400</v>
      </c>
      <c r="R11" s="8">
        <f t="shared" si="5"/>
        <v>788400</v>
      </c>
      <c r="S11" s="8">
        <f t="shared" si="5"/>
        <v>788400</v>
      </c>
      <c r="T11" s="8">
        <f t="shared" si="5"/>
        <v>788400</v>
      </c>
      <c r="U11" s="8">
        <f t="shared" si="5"/>
        <v>788400</v>
      </c>
      <c r="V11" s="8">
        <f t="shared" si="5"/>
        <v>788400</v>
      </c>
      <c r="W11" s="8">
        <f t="shared" si="5"/>
        <v>788400</v>
      </c>
      <c r="X11" s="8">
        <f t="shared" si="5"/>
        <v>788400</v>
      </c>
      <c r="Y11" s="8">
        <f t="shared" si="5"/>
        <v>788400</v>
      </c>
      <c r="Z11" s="8">
        <f t="shared" si="5"/>
        <v>788400</v>
      </c>
      <c r="AA11" s="8">
        <f t="shared" si="5"/>
        <v>788400</v>
      </c>
      <c r="AB11" s="8">
        <f t="shared" si="5"/>
        <v>788400</v>
      </c>
      <c r="AC11" s="8">
        <f t="shared" si="5"/>
        <v>788400</v>
      </c>
      <c r="AD11" s="8">
        <f t="shared" si="5"/>
        <v>788400</v>
      </c>
      <c r="AE11" s="8">
        <f t="shared" si="5"/>
        <v>788400</v>
      </c>
      <c r="AF11" s="8">
        <f t="shared" si="5"/>
        <v>788400</v>
      </c>
      <c r="AG11" s="8">
        <f t="shared" si="5"/>
        <v>788400</v>
      </c>
      <c r="AH11" s="8">
        <f t="shared" si="5"/>
        <v>788400</v>
      </c>
      <c r="AI11" s="8">
        <f t="shared" si="5"/>
        <v>788400</v>
      </c>
      <c r="AJ11" s="8">
        <f t="shared" si="5"/>
        <v>788400</v>
      </c>
    </row>
    <row r="12" spans="1:36" x14ac:dyDescent="0.2">
      <c r="A12" s="184"/>
      <c r="B12" s="67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x14ac:dyDescent="0.2">
      <c r="A13" s="184">
        <v>13</v>
      </c>
      <c r="B13" s="67"/>
      <c r="D13" s="5" t="s">
        <v>184</v>
      </c>
      <c r="E13" s="8">
        <f>'Prepay Calculation'!D13</f>
        <v>167569.78387383732</v>
      </c>
      <c r="F13" s="8">
        <f>'Prepay Calculation'!E13</f>
        <v>156532.18387383729</v>
      </c>
      <c r="G13" s="8">
        <f>'Prepay Calculation'!F13</f>
        <v>157714.7838738373</v>
      </c>
      <c r="H13" s="8">
        <f>'Prepay Calculation'!G13</f>
        <v>159685.78387383732</v>
      </c>
      <c r="I13" s="8">
        <f>'Prepay Calculation'!H13</f>
        <v>159685.78387383732</v>
      </c>
      <c r="J13" s="8">
        <f>'Prepay Calculation'!I13</f>
        <v>167569.78387383732</v>
      </c>
      <c r="K13" s="8">
        <f>'Prepay Calculation'!J13</f>
        <v>167569.78387383732</v>
      </c>
      <c r="L13" s="8">
        <f>'Prepay Calculation'!K13</f>
        <v>167569.78387383732</v>
      </c>
      <c r="M13" s="8">
        <f>'Prepay Calculation'!L13</f>
        <v>167569.78387383732</v>
      </c>
      <c r="N13" s="8">
        <f>'Prepay Calculation'!M13</f>
        <v>167569.78387383732</v>
      </c>
      <c r="O13" s="8">
        <f>'Prepay Calculation'!N13</f>
        <v>167569.78387383732</v>
      </c>
      <c r="P13" s="8">
        <f>'Prepay Calculation'!O13</f>
        <v>167569.78387383732</v>
      </c>
      <c r="Q13" s="8">
        <f>'Prepay Calculation'!P13</f>
        <v>167569.78387383732</v>
      </c>
      <c r="R13" s="8">
        <f>'Prepay Calculation'!Q13</f>
        <v>167569.78387383732</v>
      </c>
      <c r="S13" s="8">
        <f>'Prepay Calculation'!R13</f>
        <v>167569.78387383732</v>
      </c>
      <c r="T13" s="8">
        <f>'Prepay Calculation'!S13</f>
        <v>167569.78387383732</v>
      </c>
      <c r="U13" s="8">
        <f>'Prepay Calculation'!T13</f>
        <v>167569.78387383732</v>
      </c>
      <c r="V13" s="8">
        <f>'Prepay Calculation'!U13</f>
        <v>167569.78387383732</v>
      </c>
      <c r="W13" s="8">
        <f>'Prepay Calculation'!V13</f>
        <v>167569.78387383732</v>
      </c>
      <c r="X13" s="8">
        <f>'Prepay Calculation'!W13</f>
        <v>167569.78387383732</v>
      </c>
      <c r="Y13" s="8">
        <f>'Prepay Calculation'!X13</f>
        <v>167569.78387383732</v>
      </c>
      <c r="Z13" s="8">
        <f>'Prepay Calculation'!Y13</f>
        <v>167569.78387383732</v>
      </c>
      <c r="AA13" s="8">
        <f>'Prepay Calculation'!Z13</f>
        <v>167569.78387383732</v>
      </c>
      <c r="AB13" s="8">
        <f>'Prepay Calculation'!AA13</f>
        <v>167569.78387383732</v>
      </c>
      <c r="AC13" s="8">
        <f>'Prepay Calculation'!AB13</f>
        <v>167569.78387383732</v>
      </c>
      <c r="AD13" s="8">
        <f>'Prepay Calculation'!AC13</f>
        <v>167569.78387383732</v>
      </c>
      <c r="AE13" s="8">
        <f>'Prepay Calculation'!AD13</f>
        <v>167569.78387383732</v>
      </c>
      <c r="AF13" s="8">
        <f>'Prepay Calculation'!AE13</f>
        <v>167569.78387383732</v>
      </c>
      <c r="AG13" s="8">
        <f>'Prepay Calculation'!AF13</f>
        <v>167569.78387383732</v>
      </c>
      <c r="AH13" s="8">
        <f>'Prepay Calculation'!AG13</f>
        <v>167569.78387383732</v>
      </c>
      <c r="AI13" s="8"/>
      <c r="AJ13" s="8"/>
    </row>
    <row r="14" spans="1:36" x14ac:dyDescent="0.2">
      <c r="A14" s="184">
        <v>14</v>
      </c>
      <c r="B14" s="67"/>
      <c r="D14" s="5" t="s">
        <v>183</v>
      </c>
      <c r="E14" s="8">
        <f>E11-E13</f>
        <v>620830.21612616268</v>
      </c>
      <c r="F14" s="8">
        <f t="shared" ref="F14:AH14" si="6">F11-F13</f>
        <v>631867.81612616265</v>
      </c>
      <c r="G14" s="8">
        <f t="shared" si="6"/>
        <v>630685.21612616268</v>
      </c>
      <c r="H14" s="8">
        <f t="shared" si="6"/>
        <v>628714.21612616268</v>
      </c>
      <c r="I14" s="8">
        <f t="shared" si="6"/>
        <v>628714.21612616268</v>
      </c>
      <c r="J14" s="8">
        <f t="shared" si="6"/>
        <v>620830.21612616268</v>
      </c>
      <c r="K14" s="8">
        <f t="shared" si="6"/>
        <v>620830.21612616268</v>
      </c>
      <c r="L14" s="8">
        <f t="shared" si="6"/>
        <v>620830.21612616268</v>
      </c>
      <c r="M14" s="8">
        <f t="shared" si="6"/>
        <v>620830.21612616268</v>
      </c>
      <c r="N14" s="8">
        <f t="shared" si="6"/>
        <v>620830.21612616268</v>
      </c>
      <c r="O14" s="8">
        <f t="shared" si="6"/>
        <v>620830.21612616268</v>
      </c>
      <c r="P14" s="8">
        <f t="shared" si="6"/>
        <v>620830.21612616268</v>
      </c>
      <c r="Q14" s="8">
        <f t="shared" si="6"/>
        <v>620830.21612616268</v>
      </c>
      <c r="R14" s="8">
        <f t="shared" si="6"/>
        <v>620830.21612616268</v>
      </c>
      <c r="S14" s="8">
        <f t="shared" si="6"/>
        <v>620830.21612616268</v>
      </c>
      <c r="T14" s="8">
        <f t="shared" si="6"/>
        <v>620830.21612616268</v>
      </c>
      <c r="U14" s="8">
        <f t="shared" si="6"/>
        <v>620830.21612616268</v>
      </c>
      <c r="V14" s="8">
        <f t="shared" si="6"/>
        <v>620830.21612616268</v>
      </c>
      <c r="W14" s="8">
        <f t="shared" si="6"/>
        <v>620830.21612616268</v>
      </c>
      <c r="X14" s="8">
        <f t="shared" si="6"/>
        <v>620830.21612616268</v>
      </c>
      <c r="Y14" s="8">
        <f t="shared" si="6"/>
        <v>620830.21612616268</v>
      </c>
      <c r="Z14" s="8">
        <f t="shared" si="6"/>
        <v>620830.21612616268</v>
      </c>
      <c r="AA14" s="8">
        <f t="shared" si="6"/>
        <v>620830.21612616268</v>
      </c>
      <c r="AB14" s="8">
        <f t="shared" si="6"/>
        <v>620830.21612616268</v>
      </c>
      <c r="AC14" s="8">
        <f t="shared" si="6"/>
        <v>620830.21612616268</v>
      </c>
      <c r="AD14" s="8">
        <f t="shared" si="6"/>
        <v>620830.21612616268</v>
      </c>
      <c r="AE14" s="8">
        <f t="shared" si="6"/>
        <v>620830.21612616268</v>
      </c>
      <c r="AF14" s="8">
        <f t="shared" si="6"/>
        <v>620830.21612616268</v>
      </c>
      <c r="AG14" s="8">
        <f t="shared" si="6"/>
        <v>620830.21612616268</v>
      </c>
      <c r="AH14" s="8">
        <f t="shared" si="6"/>
        <v>620830.21612616268</v>
      </c>
      <c r="AI14" s="8"/>
      <c r="AJ14" s="8"/>
    </row>
    <row r="15" spans="1:36" x14ac:dyDescent="0.2">
      <c r="A15" s="184"/>
      <c r="B15" s="67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x14ac:dyDescent="0.2">
      <c r="A16" s="184"/>
      <c r="B16" s="67"/>
      <c r="D16" s="18" t="s">
        <v>177</v>
      </c>
      <c r="E16" s="19"/>
      <c r="F16" s="19"/>
      <c r="G16" s="19"/>
      <c r="H16" s="19"/>
      <c r="I16" s="19"/>
      <c r="J16" s="19"/>
      <c r="K16" s="18" t="str">
        <f>D16</f>
        <v xml:space="preserve">COST UNDER THE CURRENT PPA </v>
      </c>
      <c r="L16" s="19"/>
      <c r="M16" s="19"/>
      <c r="N16" s="19"/>
      <c r="O16" s="19"/>
      <c r="P16" s="19"/>
      <c r="Q16" s="19"/>
      <c r="R16" s="19"/>
      <c r="S16" s="19"/>
      <c r="T16" s="18" t="str">
        <f>D16</f>
        <v xml:space="preserve">COST UNDER THE CURRENT PPA </v>
      </c>
      <c r="U16" s="19"/>
      <c r="V16" s="19"/>
      <c r="W16" s="19"/>
      <c r="X16" s="19"/>
      <c r="Y16" s="19"/>
      <c r="Z16" s="19"/>
      <c r="AA16" s="19"/>
      <c r="AB16" s="19"/>
      <c r="AC16" s="18" t="str">
        <f>D16</f>
        <v xml:space="preserve">COST UNDER THE CURRENT PPA </v>
      </c>
      <c r="AD16" s="19"/>
      <c r="AE16" s="19"/>
      <c r="AF16" s="19"/>
      <c r="AG16" s="19"/>
      <c r="AH16" s="19"/>
    </row>
    <row r="17" spans="1:36" x14ac:dyDescent="0.2">
      <c r="A17" s="184">
        <v>17</v>
      </c>
      <c r="B17" s="80"/>
      <c r="C17" s="52"/>
      <c r="D17" s="1" t="s">
        <v>178</v>
      </c>
      <c r="E17" s="80">
        <f>'Current PPA Cost'!D21</f>
        <v>133.93391679350583</v>
      </c>
      <c r="F17" s="80">
        <f>'Current PPA Cost'!E21</f>
        <v>134.6426881577749</v>
      </c>
      <c r="G17" s="80">
        <f>'Current PPA Cost'!F21</f>
        <v>135.47243889799526</v>
      </c>
      <c r="H17" s="80">
        <f>'Current PPA Cost'!G21</f>
        <v>136.32910055472621</v>
      </c>
      <c r="I17" s="80">
        <f>'Current PPA Cost'!H21</f>
        <v>137.21334797421301</v>
      </c>
      <c r="J17" s="80">
        <f>'Current PPA Cost'!I21</f>
        <v>138.12587293605711</v>
      </c>
      <c r="K17" s="80">
        <f>'Current PPA Cost'!J21</f>
        <v>139.06738457841595</v>
      </c>
      <c r="L17" s="80">
        <f>'Current PPA Cost'!K21</f>
        <v>140.03860983388884</v>
      </c>
      <c r="M17" s="80">
        <f>'Current PPA Cost'!L21</f>
        <v>141.04029387635774</v>
      </c>
      <c r="N17" s="80">
        <f>'Current PPA Cost'!M21</f>
        <v>142.07320057905815</v>
      </c>
      <c r="O17" s="80">
        <f>'Current PPA Cost'!N21</f>
        <v>143.1381129841634</v>
      </c>
      <c r="P17" s="80">
        <f>'Current PPA Cost'!O21</f>
        <v>144.23583378417112</v>
      </c>
      <c r="Q17" s="80">
        <f>'Current PPA Cost'!P21</f>
        <v>145.36718581538955</v>
      </c>
      <c r="R17" s="80">
        <f>'Current PPA Cost'!Q21</f>
        <v>146.53301256382764</v>
      </c>
      <c r="S17" s="80">
        <f>'Current PPA Cost'!R21</f>
        <v>147.73417868380145</v>
      </c>
      <c r="T17" s="80">
        <f>'Current PPA Cost'!S21</f>
        <v>148.97157052957652</v>
      </c>
      <c r="U17" s="80">
        <f>'Current PPA Cost'!T21</f>
        <v>150.24609670037435</v>
      </c>
      <c r="V17" s="80">
        <f>'Current PPA Cost'!U21</f>
        <v>151.55868859907929</v>
      </c>
      <c r="W17" s="80">
        <f>'Current PPA Cost'!V21</f>
        <v>152.91030100499052</v>
      </c>
      <c r="X17" s="80">
        <f>'Current PPA Cost'!W21</f>
        <v>154.3019126609727</v>
      </c>
      <c r="Y17" s="80">
        <f>'Current PPA Cost'!X21</f>
        <v>155.73452687536781</v>
      </c>
      <c r="Z17" s="80">
        <f>'Current PPA Cost'!Y21</f>
        <v>157.20917213903886</v>
      </c>
      <c r="AA17" s="80">
        <f>'Current PPA Cost'!Z21</f>
        <v>158.72690275792772</v>
      </c>
      <c r="AB17" s="80">
        <f>'Current PPA Cost'!AA21</f>
        <v>160.28879950151594</v>
      </c>
      <c r="AC17" s="80">
        <f>'Current PPA Cost'!AB21</f>
        <v>161.89597026759031</v>
      </c>
      <c r="AD17" s="80">
        <f>'Current PPA Cost'!AC21</f>
        <v>163.54955076372221</v>
      </c>
      <c r="AE17" s="80">
        <f>'Current PPA Cost'!AD21</f>
        <v>165.25070520588267</v>
      </c>
      <c r="AF17" s="80">
        <f>'Current PPA Cost'!AE21</f>
        <v>167.00062703462356</v>
      </c>
      <c r="AG17" s="80">
        <f>'Current PPA Cost'!AF21</f>
        <v>168.80053964926759</v>
      </c>
      <c r="AH17" s="80">
        <f>'Current PPA Cost'!AG21</f>
        <v>170.65169716056027</v>
      </c>
    </row>
    <row r="18" spans="1:36" x14ac:dyDescent="0.2">
      <c r="A18" s="184">
        <v>18</v>
      </c>
      <c r="B18" s="80"/>
      <c r="C18" s="52"/>
      <c r="D18" s="22" t="s">
        <v>179</v>
      </c>
      <c r="E18" s="82">
        <f>E11</f>
        <v>788400</v>
      </c>
      <c r="F18" s="82">
        <f t="shared" ref="F18:AH18" si="7">F11</f>
        <v>788400</v>
      </c>
      <c r="G18" s="82">
        <f t="shared" si="7"/>
        <v>788400</v>
      </c>
      <c r="H18" s="82">
        <f t="shared" si="7"/>
        <v>788400</v>
      </c>
      <c r="I18" s="82">
        <f t="shared" si="7"/>
        <v>788400</v>
      </c>
      <c r="J18" s="82">
        <f t="shared" si="7"/>
        <v>788400</v>
      </c>
      <c r="K18" s="82">
        <f t="shared" si="7"/>
        <v>788400</v>
      </c>
      <c r="L18" s="82">
        <f t="shared" si="7"/>
        <v>788400</v>
      </c>
      <c r="M18" s="82">
        <f t="shared" si="7"/>
        <v>788400</v>
      </c>
      <c r="N18" s="82">
        <f t="shared" si="7"/>
        <v>788400</v>
      </c>
      <c r="O18" s="82">
        <f t="shared" si="7"/>
        <v>788400</v>
      </c>
      <c r="P18" s="82">
        <f t="shared" si="7"/>
        <v>788400</v>
      </c>
      <c r="Q18" s="82">
        <f t="shared" si="7"/>
        <v>788400</v>
      </c>
      <c r="R18" s="82">
        <f t="shared" si="7"/>
        <v>788400</v>
      </c>
      <c r="S18" s="82">
        <f t="shared" si="7"/>
        <v>788400</v>
      </c>
      <c r="T18" s="82">
        <f t="shared" si="7"/>
        <v>788400</v>
      </c>
      <c r="U18" s="82">
        <f t="shared" si="7"/>
        <v>788400</v>
      </c>
      <c r="V18" s="82">
        <f t="shared" si="7"/>
        <v>788400</v>
      </c>
      <c r="W18" s="82">
        <f t="shared" si="7"/>
        <v>788400</v>
      </c>
      <c r="X18" s="82">
        <f t="shared" si="7"/>
        <v>788400</v>
      </c>
      <c r="Y18" s="82">
        <f t="shared" si="7"/>
        <v>788400</v>
      </c>
      <c r="Z18" s="82">
        <f t="shared" si="7"/>
        <v>788400</v>
      </c>
      <c r="AA18" s="82">
        <f t="shared" si="7"/>
        <v>788400</v>
      </c>
      <c r="AB18" s="82">
        <f t="shared" si="7"/>
        <v>788400</v>
      </c>
      <c r="AC18" s="82">
        <f t="shared" si="7"/>
        <v>788400</v>
      </c>
      <c r="AD18" s="82">
        <f t="shared" si="7"/>
        <v>788400</v>
      </c>
      <c r="AE18" s="82">
        <f t="shared" si="7"/>
        <v>788400</v>
      </c>
      <c r="AF18" s="82">
        <f t="shared" si="7"/>
        <v>788400</v>
      </c>
      <c r="AG18" s="82">
        <f t="shared" si="7"/>
        <v>788400</v>
      </c>
      <c r="AH18" s="82">
        <f t="shared" si="7"/>
        <v>788400</v>
      </c>
    </row>
    <row r="19" spans="1:36" x14ac:dyDescent="0.2">
      <c r="A19" s="184">
        <v>19</v>
      </c>
      <c r="B19" s="80"/>
      <c r="C19" s="52"/>
      <c r="D19" s="5" t="s">
        <v>180</v>
      </c>
      <c r="E19" s="103">
        <f>E18*E17</f>
        <v>105593500</v>
      </c>
      <c r="F19" s="103">
        <f t="shared" ref="F19:AH19" si="8">F18*F17</f>
        <v>106152295.34358972</v>
      </c>
      <c r="G19" s="103">
        <f t="shared" si="8"/>
        <v>106806470.82717946</v>
      </c>
      <c r="H19" s="103">
        <f t="shared" si="8"/>
        <v>107481862.87734614</v>
      </c>
      <c r="I19" s="103">
        <f t="shared" si="8"/>
        <v>108179003.54286954</v>
      </c>
      <c r="J19" s="103">
        <f t="shared" si="8"/>
        <v>108898438.22278742</v>
      </c>
      <c r="K19" s="103">
        <f t="shared" si="8"/>
        <v>109640726.00162314</v>
      </c>
      <c r="L19" s="103">
        <f t="shared" si="8"/>
        <v>110406439.99303797</v>
      </c>
      <c r="M19" s="103">
        <f t="shared" si="8"/>
        <v>111196167.69212043</v>
      </c>
      <c r="N19" s="103">
        <f t="shared" si="8"/>
        <v>112010511.33652945</v>
      </c>
      <c r="O19" s="103">
        <f t="shared" si="8"/>
        <v>112850088.27671443</v>
      </c>
      <c r="P19" s="103">
        <f t="shared" si="8"/>
        <v>113715531.35544051</v>
      </c>
      <c r="Q19" s="103">
        <f t="shared" si="8"/>
        <v>114607489.29685313</v>
      </c>
      <c r="R19" s="103">
        <f t="shared" si="8"/>
        <v>115526627.10532171</v>
      </c>
      <c r="S19" s="103">
        <f t="shared" si="8"/>
        <v>116473626.47430906</v>
      </c>
      <c r="T19" s="103">
        <f t="shared" si="8"/>
        <v>117449186.20551813</v>
      </c>
      <c r="U19" s="103">
        <f t="shared" si="8"/>
        <v>118454022.63857514</v>
      </c>
      <c r="V19" s="103">
        <f t="shared" si="8"/>
        <v>119488870.09151411</v>
      </c>
      <c r="W19" s="103">
        <f t="shared" si="8"/>
        <v>120554481.31233452</v>
      </c>
      <c r="X19" s="103">
        <f t="shared" si="8"/>
        <v>121651627.94191088</v>
      </c>
      <c r="Y19" s="103">
        <f t="shared" si="8"/>
        <v>122781100.98853998</v>
      </c>
      <c r="Z19" s="103">
        <f t="shared" si="8"/>
        <v>123943711.31441823</v>
      </c>
      <c r="AA19" s="103">
        <f t="shared" si="8"/>
        <v>125140290.13435021</v>
      </c>
      <c r="AB19" s="103">
        <f t="shared" si="8"/>
        <v>126371689.52699517</v>
      </c>
      <c r="AC19" s="103">
        <f t="shared" si="8"/>
        <v>127638782.95896821</v>
      </c>
      <c r="AD19" s="103">
        <f t="shared" si="8"/>
        <v>128942465.8221186</v>
      </c>
      <c r="AE19" s="103">
        <f t="shared" si="8"/>
        <v>130283655.9843179</v>
      </c>
      <c r="AF19" s="103">
        <f t="shared" si="8"/>
        <v>131663294.35409722</v>
      </c>
      <c r="AG19" s="103">
        <f t="shared" si="8"/>
        <v>133082345.45948257</v>
      </c>
      <c r="AH19" s="103">
        <f t="shared" si="8"/>
        <v>134541798.04138571</v>
      </c>
    </row>
    <row r="20" spans="1:36" x14ac:dyDescent="0.2">
      <c r="A20" s="184"/>
      <c r="B20" s="80"/>
      <c r="C20" s="5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</row>
    <row r="21" spans="1:36" x14ac:dyDescent="0.2">
      <c r="A21" s="184">
        <v>21</v>
      </c>
      <c r="B21" s="80"/>
      <c r="C21" s="52"/>
      <c r="D21" s="5" t="s">
        <v>100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</row>
    <row r="22" spans="1:36" x14ac:dyDescent="0.2">
      <c r="A22" s="184">
        <v>22</v>
      </c>
      <c r="B22" s="80"/>
      <c r="C22" s="52"/>
      <c r="D22" s="1" t="s">
        <v>96</v>
      </c>
      <c r="E22" s="83">
        <f>'Inputs '!$C$43</f>
        <v>788400</v>
      </c>
      <c r="F22" s="83">
        <f>'Inputs '!$C$43</f>
        <v>788400</v>
      </c>
      <c r="G22" s="83">
        <f>'Inputs '!$C$43</f>
        <v>788400</v>
      </c>
      <c r="H22" s="83">
        <f>'Inputs '!$C$43</f>
        <v>788400</v>
      </c>
      <c r="I22" s="83">
        <f>'Inputs '!$C$43</f>
        <v>788400</v>
      </c>
      <c r="J22" s="83">
        <f>'Inputs '!$C$43</f>
        <v>788400</v>
      </c>
      <c r="K22" s="83">
        <f>'Inputs '!$C$43</f>
        <v>788400</v>
      </c>
      <c r="L22" s="83">
        <f>'Inputs '!$C$43</f>
        <v>788400</v>
      </c>
      <c r="M22" s="83">
        <f>'Inputs '!$C$43</f>
        <v>788400</v>
      </c>
      <c r="N22" s="83">
        <f>'Inputs '!$C$43</f>
        <v>788400</v>
      </c>
      <c r="O22" s="83">
        <f>'Inputs '!$C$43</f>
        <v>788400</v>
      </c>
      <c r="P22" s="83">
        <f>'Inputs '!$C$43</f>
        <v>788400</v>
      </c>
      <c r="Q22" s="83">
        <f>'Inputs '!$C$43</f>
        <v>788400</v>
      </c>
      <c r="R22" s="83">
        <f>'Inputs '!$C$43</f>
        <v>788400</v>
      </c>
      <c r="S22" s="83">
        <f>'Inputs '!$C$43</f>
        <v>788400</v>
      </c>
      <c r="T22" s="83">
        <f>'Inputs '!$C$43</f>
        <v>788400</v>
      </c>
      <c r="U22" s="83">
        <f>'Inputs '!$C$43</f>
        <v>788400</v>
      </c>
      <c r="V22" s="83">
        <f>'Inputs '!$C$43</f>
        <v>788400</v>
      </c>
      <c r="W22" s="83">
        <f>'Inputs '!$C$43</f>
        <v>788400</v>
      </c>
      <c r="X22" s="83">
        <f>'Inputs '!$C$43</f>
        <v>788400</v>
      </c>
      <c r="Y22" s="83">
        <f>'Inputs '!$C$43</f>
        <v>788400</v>
      </c>
      <c r="Z22" s="83">
        <f>'Inputs '!$C$43</f>
        <v>788400</v>
      </c>
      <c r="AA22" s="83">
        <f>'Inputs '!$C$43</f>
        <v>788400</v>
      </c>
      <c r="AB22" s="83">
        <f>'Inputs '!$C$43</f>
        <v>788400</v>
      </c>
      <c r="AC22" s="83">
        <f>'Inputs '!$C$43</f>
        <v>788400</v>
      </c>
      <c r="AD22" s="83">
        <f>'Inputs '!$C$43</f>
        <v>788400</v>
      </c>
      <c r="AE22" s="83">
        <f>'Inputs '!$C$43</f>
        <v>788400</v>
      </c>
      <c r="AF22" s="83">
        <f>'Inputs '!$C$43</f>
        <v>788400</v>
      </c>
      <c r="AG22" s="83">
        <f>'Inputs '!$C$43</f>
        <v>788400</v>
      </c>
      <c r="AH22" s="83">
        <f>'Inputs '!$C$43</f>
        <v>788400</v>
      </c>
    </row>
    <row r="23" spans="1:36" x14ac:dyDescent="0.2">
      <c r="A23" s="184">
        <v>23</v>
      </c>
      <c r="B23" s="80"/>
      <c r="C23" s="52"/>
      <c r="D23" s="1" t="s">
        <v>97</v>
      </c>
      <c r="E23" s="104">
        <f>E11</f>
        <v>788400</v>
      </c>
      <c r="F23" s="104">
        <f>F11</f>
        <v>788400</v>
      </c>
      <c r="G23" s="104">
        <f t="shared" ref="G23:AH23" si="9">G11</f>
        <v>788400</v>
      </c>
      <c r="H23" s="104">
        <f t="shared" si="9"/>
        <v>788400</v>
      </c>
      <c r="I23" s="104">
        <f t="shared" si="9"/>
        <v>788400</v>
      </c>
      <c r="J23" s="104">
        <f t="shared" si="9"/>
        <v>788400</v>
      </c>
      <c r="K23" s="104">
        <f t="shared" si="9"/>
        <v>788400</v>
      </c>
      <c r="L23" s="104">
        <f t="shared" si="9"/>
        <v>788400</v>
      </c>
      <c r="M23" s="104">
        <f t="shared" si="9"/>
        <v>788400</v>
      </c>
      <c r="N23" s="104">
        <f t="shared" si="9"/>
        <v>788400</v>
      </c>
      <c r="O23" s="104">
        <f t="shared" si="9"/>
        <v>788400</v>
      </c>
      <c r="P23" s="104">
        <f t="shared" si="9"/>
        <v>788400</v>
      </c>
      <c r="Q23" s="104">
        <f t="shared" si="9"/>
        <v>788400</v>
      </c>
      <c r="R23" s="104">
        <f t="shared" si="9"/>
        <v>788400</v>
      </c>
      <c r="S23" s="104">
        <f t="shared" si="9"/>
        <v>788400</v>
      </c>
      <c r="T23" s="104">
        <f t="shared" si="9"/>
        <v>788400</v>
      </c>
      <c r="U23" s="104">
        <f t="shared" si="9"/>
        <v>788400</v>
      </c>
      <c r="V23" s="104">
        <f t="shared" si="9"/>
        <v>788400</v>
      </c>
      <c r="W23" s="104">
        <f t="shared" si="9"/>
        <v>788400</v>
      </c>
      <c r="X23" s="104">
        <f t="shared" si="9"/>
        <v>788400</v>
      </c>
      <c r="Y23" s="104">
        <f t="shared" si="9"/>
        <v>788400</v>
      </c>
      <c r="Z23" s="104">
        <f t="shared" si="9"/>
        <v>788400</v>
      </c>
      <c r="AA23" s="104">
        <f t="shared" si="9"/>
        <v>788400</v>
      </c>
      <c r="AB23" s="104">
        <f t="shared" si="9"/>
        <v>788400</v>
      </c>
      <c r="AC23" s="104">
        <f t="shared" si="9"/>
        <v>788400</v>
      </c>
      <c r="AD23" s="104">
        <f t="shared" si="9"/>
        <v>788400</v>
      </c>
      <c r="AE23" s="104">
        <f t="shared" si="9"/>
        <v>788400</v>
      </c>
      <c r="AF23" s="104">
        <f t="shared" si="9"/>
        <v>788400</v>
      </c>
      <c r="AG23" s="104">
        <f t="shared" si="9"/>
        <v>788400</v>
      </c>
      <c r="AH23" s="104">
        <f t="shared" si="9"/>
        <v>788400</v>
      </c>
    </row>
    <row r="24" spans="1:36" x14ac:dyDescent="0.2">
      <c r="A24" s="184">
        <v>24</v>
      </c>
      <c r="B24" s="80"/>
      <c r="C24" s="52"/>
      <c r="D24" s="1" t="s">
        <v>59</v>
      </c>
      <c r="E24" s="83">
        <f>E22-E23</f>
        <v>0</v>
      </c>
      <c r="F24" s="83">
        <f>F22-F23</f>
        <v>0</v>
      </c>
      <c r="G24" s="83">
        <f t="shared" ref="G24:AH24" si="10">G22-G23</f>
        <v>0</v>
      </c>
      <c r="H24" s="83">
        <f t="shared" si="10"/>
        <v>0</v>
      </c>
      <c r="I24" s="83">
        <f t="shared" si="10"/>
        <v>0</v>
      </c>
      <c r="J24" s="83">
        <f t="shared" si="10"/>
        <v>0</v>
      </c>
      <c r="K24" s="83">
        <f t="shared" si="10"/>
        <v>0</v>
      </c>
      <c r="L24" s="83">
        <f t="shared" si="10"/>
        <v>0</v>
      </c>
      <c r="M24" s="83">
        <f t="shared" si="10"/>
        <v>0</v>
      </c>
      <c r="N24" s="83">
        <f t="shared" si="10"/>
        <v>0</v>
      </c>
      <c r="O24" s="83">
        <f t="shared" si="10"/>
        <v>0</v>
      </c>
      <c r="P24" s="83">
        <f t="shared" si="10"/>
        <v>0</v>
      </c>
      <c r="Q24" s="83">
        <f t="shared" si="10"/>
        <v>0</v>
      </c>
      <c r="R24" s="83">
        <f t="shared" si="10"/>
        <v>0</v>
      </c>
      <c r="S24" s="83">
        <f t="shared" si="10"/>
        <v>0</v>
      </c>
      <c r="T24" s="83">
        <f t="shared" si="10"/>
        <v>0</v>
      </c>
      <c r="U24" s="83">
        <f t="shared" si="10"/>
        <v>0</v>
      </c>
      <c r="V24" s="83">
        <f t="shared" si="10"/>
        <v>0</v>
      </c>
      <c r="W24" s="83">
        <f t="shared" si="10"/>
        <v>0</v>
      </c>
      <c r="X24" s="83">
        <f t="shared" si="10"/>
        <v>0</v>
      </c>
      <c r="Y24" s="83">
        <f t="shared" si="10"/>
        <v>0</v>
      </c>
      <c r="Z24" s="83">
        <f t="shared" si="10"/>
        <v>0</v>
      </c>
      <c r="AA24" s="83">
        <f t="shared" si="10"/>
        <v>0</v>
      </c>
      <c r="AB24" s="83">
        <f t="shared" si="10"/>
        <v>0</v>
      </c>
      <c r="AC24" s="83">
        <f t="shared" si="10"/>
        <v>0</v>
      </c>
      <c r="AD24" s="83">
        <f t="shared" si="10"/>
        <v>0</v>
      </c>
      <c r="AE24" s="83">
        <f t="shared" si="10"/>
        <v>0</v>
      </c>
      <c r="AF24" s="83">
        <f t="shared" si="10"/>
        <v>0</v>
      </c>
      <c r="AG24" s="83">
        <f t="shared" si="10"/>
        <v>0</v>
      </c>
      <c r="AH24" s="83">
        <f t="shared" si="10"/>
        <v>0</v>
      </c>
    </row>
    <row r="25" spans="1:36" x14ac:dyDescent="0.2">
      <c r="A25" s="184">
        <v>25</v>
      </c>
      <c r="B25" s="57">
        <f>MarketPriceofPower</f>
        <v>60</v>
      </c>
      <c r="C25" s="14">
        <f>MarketPriceGrowthRt</f>
        <v>2.5000000000000001E-2</v>
      </c>
      <c r="D25" s="1" t="s">
        <v>98</v>
      </c>
      <c r="E25" s="55">
        <f>B25</f>
        <v>60</v>
      </c>
      <c r="F25" s="55">
        <f>$E$25*((1+$C$25)^E3)</f>
        <v>61.499999999999993</v>
      </c>
      <c r="G25" s="55">
        <f t="shared" ref="G25:AH25" si="11">$E$25*((1+$C$25)^F3)</f>
        <v>63.037499999999994</v>
      </c>
      <c r="H25" s="55">
        <f t="shared" si="11"/>
        <v>64.613437499999989</v>
      </c>
      <c r="I25" s="55">
        <f t="shared" si="11"/>
        <v>66.228773437499981</v>
      </c>
      <c r="J25" s="55">
        <f t="shared" si="11"/>
        <v>67.884492773437472</v>
      </c>
      <c r="K25" s="55">
        <f t="shared" si="11"/>
        <v>69.581605092773415</v>
      </c>
      <c r="L25" s="55">
        <f t="shared" si="11"/>
        <v>71.321145220092745</v>
      </c>
      <c r="M25" s="55">
        <f t="shared" si="11"/>
        <v>73.10417385059506</v>
      </c>
      <c r="N25" s="55">
        <f t="shared" si="11"/>
        <v>74.931778196859923</v>
      </c>
      <c r="O25" s="55">
        <f t="shared" si="11"/>
        <v>76.80507265178143</v>
      </c>
      <c r="P25" s="55">
        <f t="shared" si="11"/>
        <v>78.725199468075957</v>
      </c>
      <c r="Q25" s="55">
        <f t="shared" si="11"/>
        <v>80.693329454777853</v>
      </c>
      <c r="R25" s="55">
        <f t="shared" si="11"/>
        <v>82.710662691147292</v>
      </c>
      <c r="S25" s="55">
        <f t="shared" si="11"/>
        <v>84.778429258425973</v>
      </c>
      <c r="T25" s="55">
        <f t="shared" si="11"/>
        <v>86.897889989886636</v>
      </c>
      <c r="U25" s="55">
        <f t="shared" si="11"/>
        <v>89.070337239633787</v>
      </c>
      <c r="V25" s="55">
        <f t="shared" si="11"/>
        <v>91.297095670624614</v>
      </c>
      <c r="W25" s="55">
        <f t="shared" si="11"/>
        <v>93.579523062390237</v>
      </c>
      <c r="X25" s="55">
        <f t="shared" si="11"/>
        <v>95.919011138949998</v>
      </c>
      <c r="Y25" s="55">
        <f t="shared" si="11"/>
        <v>98.316986417423735</v>
      </c>
      <c r="Z25" s="55">
        <f t="shared" si="11"/>
        <v>100.77491107785931</v>
      </c>
      <c r="AA25" s="55">
        <f t="shared" si="11"/>
        <v>103.2942838548058</v>
      </c>
      <c r="AB25" s="55">
        <f t="shared" si="11"/>
        <v>105.87664095117594</v>
      </c>
      <c r="AC25" s="55">
        <f t="shared" si="11"/>
        <v>108.52355697495534</v>
      </c>
      <c r="AD25" s="55">
        <f t="shared" si="11"/>
        <v>111.2366458993292</v>
      </c>
      <c r="AE25" s="55">
        <f t="shared" si="11"/>
        <v>114.01756204681243</v>
      </c>
      <c r="AF25" s="55">
        <f t="shared" si="11"/>
        <v>116.86800109798273</v>
      </c>
      <c r="AG25" s="55">
        <f t="shared" si="11"/>
        <v>119.78970112543229</v>
      </c>
      <c r="AH25" s="55">
        <f t="shared" si="11"/>
        <v>122.7844436535681</v>
      </c>
    </row>
    <row r="26" spans="1:36" x14ac:dyDescent="0.2">
      <c r="A26" s="184">
        <v>26</v>
      </c>
      <c r="D26" s="1" t="s">
        <v>99</v>
      </c>
      <c r="E26" s="83">
        <f>E25*E24</f>
        <v>0</v>
      </c>
      <c r="F26" s="83">
        <f>F25*F24</f>
        <v>0</v>
      </c>
      <c r="G26" s="83">
        <f t="shared" ref="G26:AH26" si="12">G25*G24</f>
        <v>0</v>
      </c>
      <c r="H26" s="83">
        <f t="shared" si="12"/>
        <v>0</v>
      </c>
      <c r="I26" s="83">
        <f t="shared" si="12"/>
        <v>0</v>
      </c>
      <c r="J26" s="83">
        <f t="shared" si="12"/>
        <v>0</v>
      </c>
      <c r="K26" s="83">
        <f t="shared" si="12"/>
        <v>0</v>
      </c>
      <c r="L26" s="83">
        <f t="shared" si="12"/>
        <v>0</v>
      </c>
      <c r="M26" s="83">
        <f t="shared" si="12"/>
        <v>0</v>
      </c>
      <c r="N26" s="83">
        <f t="shared" si="12"/>
        <v>0</v>
      </c>
      <c r="O26" s="83">
        <f t="shared" si="12"/>
        <v>0</v>
      </c>
      <c r="P26" s="83">
        <f t="shared" si="12"/>
        <v>0</v>
      </c>
      <c r="Q26" s="83">
        <f t="shared" si="12"/>
        <v>0</v>
      </c>
      <c r="R26" s="83">
        <f t="shared" si="12"/>
        <v>0</v>
      </c>
      <c r="S26" s="83">
        <f t="shared" si="12"/>
        <v>0</v>
      </c>
      <c r="T26" s="83">
        <f t="shared" si="12"/>
        <v>0</v>
      </c>
      <c r="U26" s="83">
        <f t="shared" si="12"/>
        <v>0</v>
      </c>
      <c r="V26" s="83">
        <f t="shared" si="12"/>
        <v>0</v>
      </c>
      <c r="W26" s="83">
        <f t="shared" si="12"/>
        <v>0</v>
      </c>
      <c r="X26" s="83">
        <f t="shared" si="12"/>
        <v>0</v>
      </c>
      <c r="Y26" s="83">
        <f t="shared" si="12"/>
        <v>0</v>
      </c>
      <c r="Z26" s="83">
        <f t="shared" si="12"/>
        <v>0</v>
      </c>
      <c r="AA26" s="83">
        <f t="shared" si="12"/>
        <v>0</v>
      </c>
      <c r="AB26" s="83">
        <f t="shared" si="12"/>
        <v>0</v>
      </c>
      <c r="AC26" s="83">
        <f t="shared" si="12"/>
        <v>0</v>
      </c>
      <c r="AD26" s="83">
        <f t="shared" si="12"/>
        <v>0</v>
      </c>
      <c r="AE26" s="83">
        <f t="shared" si="12"/>
        <v>0</v>
      </c>
      <c r="AF26" s="83">
        <f t="shared" si="12"/>
        <v>0</v>
      </c>
      <c r="AG26" s="83">
        <f t="shared" si="12"/>
        <v>0</v>
      </c>
      <c r="AH26" s="83">
        <f t="shared" si="12"/>
        <v>0</v>
      </c>
    </row>
    <row r="27" spans="1:36" x14ac:dyDescent="0.2">
      <c r="A27" s="184"/>
      <c r="B27" s="67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</row>
    <row r="28" spans="1:36" x14ac:dyDescent="0.2">
      <c r="A28" s="184">
        <v>28</v>
      </c>
      <c r="B28" s="67"/>
      <c r="D28" s="5" t="s">
        <v>181</v>
      </c>
      <c r="E28" s="79">
        <f>E19+E26</f>
        <v>105593500</v>
      </c>
      <c r="F28" s="79">
        <f t="shared" ref="F28:AH28" si="13">F19+F26</f>
        <v>106152295.34358972</v>
      </c>
      <c r="G28" s="79">
        <f t="shared" si="13"/>
        <v>106806470.82717946</v>
      </c>
      <c r="H28" s="79">
        <f t="shared" si="13"/>
        <v>107481862.87734614</v>
      </c>
      <c r="I28" s="79">
        <f t="shared" si="13"/>
        <v>108179003.54286954</v>
      </c>
      <c r="J28" s="79">
        <f t="shared" si="13"/>
        <v>108898438.22278742</v>
      </c>
      <c r="K28" s="79">
        <f t="shared" si="13"/>
        <v>109640726.00162314</v>
      </c>
      <c r="L28" s="79">
        <f t="shared" si="13"/>
        <v>110406439.99303797</v>
      </c>
      <c r="M28" s="79">
        <f t="shared" si="13"/>
        <v>111196167.69212043</v>
      </c>
      <c r="N28" s="79">
        <f t="shared" si="13"/>
        <v>112010511.33652945</v>
      </c>
      <c r="O28" s="79">
        <f t="shared" si="13"/>
        <v>112850088.27671443</v>
      </c>
      <c r="P28" s="79">
        <f t="shared" si="13"/>
        <v>113715531.35544051</v>
      </c>
      <c r="Q28" s="79">
        <f t="shared" si="13"/>
        <v>114607489.29685313</v>
      </c>
      <c r="R28" s="79">
        <f t="shared" si="13"/>
        <v>115526627.10532171</v>
      </c>
      <c r="S28" s="79">
        <f t="shared" si="13"/>
        <v>116473626.47430906</v>
      </c>
      <c r="T28" s="79">
        <f t="shared" si="13"/>
        <v>117449186.20551813</v>
      </c>
      <c r="U28" s="79">
        <f t="shared" si="13"/>
        <v>118454022.63857514</v>
      </c>
      <c r="V28" s="79">
        <f t="shared" si="13"/>
        <v>119488870.09151411</v>
      </c>
      <c r="W28" s="79">
        <f t="shared" si="13"/>
        <v>120554481.31233452</v>
      </c>
      <c r="X28" s="79">
        <f t="shared" si="13"/>
        <v>121651627.94191088</v>
      </c>
      <c r="Y28" s="79">
        <f t="shared" si="13"/>
        <v>122781100.98853998</v>
      </c>
      <c r="Z28" s="79">
        <f t="shared" si="13"/>
        <v>123943711.31441823</v>
      </c>
      <c r="AA28" s="79">
        <f t="shared" si="13"/>
        <v>125140290.13435021</v>
      </c>
      <c r="AB28" s="79">
        <f t="shared" si="13"/>
        <v>126371689.52699517</v>
      </c>
      <c r="AC28" s="79">
        <f t="shared" si="13"/>
        <v>127638782.95896821</v>
      </c>
      <c r="AD28" s="79">
        <f t="shared" si="13"/>
        <v>128942465.8221186</v>
      </c>
      <c r="AE28" s="79">
        <f t="shared" si="13"/>
        <v>130283655.9843179</v>
      </c>
      <c r="AF28" s="79">
        <f t="shared" si="13"/>
        <v>131663294.35409722</v>
      </c>
      <c r="AG28" s="79">
        <f t="shared" si="13"/>
        <v>133082345.45948257</v>
      </c>
      <c r="AH28" s="79">
        <f t="shared" si="13"/>
        <v>134541798.04138571</v>
      </c>
    </row>
    <row r="29" spans="1:36" x14ac:dyDescent="0.2">
      <c r="A29" s="184"/>
      <c r="B29" s="67"/>
      <c r="E29" s="42"/>
    </row>
    <row r="30" spans="1:36" x14ac:dyDescent="0.2">
      <c r="A30" s="184"/>
      <c r="B30" s="68" t="s">
        <v>69</v>
      </c>
      <c r="C30" s="14" t="s">
        <v>55</v>
      </c>
      <c r="D30" s="18" t="s">
        <v>182</v>
      </c>
      <c r="E30" s="54"/>
      <c r="F30" s="19"/>
      <c r="G30" s="19"/>
      <c r="H30" s="19"/>
      <c r="I30" s="19"/>
      <c r="J30" s="19"/>
      <c r="K30" s="18" t="str">
        <f>D30</f>
        <v>GRU Ownership Cost</v>
      </c>
      <c r="L30" s="19"/>
      <c r="M30" s="19"/>
      <c r="N30" s="19"/>
      <c r="O30" s="19"/>
      <c r="P30" s="19"/>
      <c r="Q30" s="19"/>
      <c r="R30" s="19"/>
      <c r="S30" s="19"/>
      <c r="T30" s="18" t="str">
        <f>D30</f>
        <v>GRU Ownership Cost</v>
      </c>
      <c r="U30" s="19"/>
      <c r="V30" s="19"/>
      <c r="W30" s="19"/>
      <c r="X30" s="19"/>
      <c r="Y30" s="19"/>
      <c r="Z30" s="19"/>
      <c r="AA30" s="19"/>
      <c r="AB30" s="19"/>
      <c r="AC30" s="18" t="str">
        <f>D30</f>
        <v>GRU Ownership Cost</v>
      </c>
      <c r="AD30" s="19"/>
      <c r="AE30" s="19"/>
      <c r="AF30" s="19"/>
      <c r="AG30" s="19"/>
      <c r="AH30" s="19"/>
      <c r="AI30" s="19"/>
      <c r="AJ30" s="19"/>
    </row>
    <row r="31" spans="1:36" x14ac:dyDescent="0.2">
      <c r="A31" s="184">
        <v>31</v>
      </c>
      <c r="B31" s="68">
        <f>UpdatedOandMMay</f>
        <v>9000000</v>
      </c>
      <c r="C31" s="14">
        <f>'Inputs '!$D$4</f>
        <v>2.5000000000000001E-2</v>
      </c>
      <c r="D31" s="1" t="s">
        <v>66</v>
      </c>
      <c r="E31" s="82">
        <f>'Conduit EBITDA and CF'!E33</f>
        <v>9000000</v>
      </c>
      <c r="F31" s="82">
        <f>'Conduit EBITDA and CF'!F33</f>
        <v>9225000</v>
      </c>
      <c r="G31" s="82">
        <f>'Conduit EBITDA and CF'!G33</f>
        <v>9455625</v>
      </c>
      <c r="H31" s="82">
        <f>'Conduit EBITDA and CF'!H33</f>
        <v>9692015.625</v>
      </c>
      <c r="I31" s="82">
        <f>'Conduit EBITDA and CF'!I33</f>
        <v>9934316.015625</v>
      </c>
      <c r="J31" s="82">
        <f>I31*(1+'Conduit EBITDA and CF'!$C$33)</f>
        <v>10182673.916015625</v>
      </c>
      <c r="K31" s="82">
        <f>J31*(1+'Conduit EBITDA and CF'!$C$33)</f>
        <v>10437240.763916016</v>
      </c>
      <c r="L31" s="82">
        <f>K31*(1+'Conduit EBITDA and CF'!$C$33)</f>
        <v>10698171.783013916</v>
      </c>
      <c r="M31" s="82">
        <f>L31*(1+'Conduit EBITDA and CF'!$C$33)</f>
        <v>10965626.077589262</v>
      </c>
      <c r="N31" s="82">
        <f>M31*(1+'Conduit EBITDA and CF'!$C$33)</f>
        <v>11239766.729528993</v>
      </c>
      <c r="O31" s="82">
        <f>N31*(1+'Conduit EBITDA and CF'!$C$33)</f>
        <v>11520760.897767218</v>
      </c>
      <c r="P31" s="82">
        <f>O31*(1+'Conduit EBITDA and CF'!$C$33)</f>
        <v>11808779.920211397</v>
      </c>
      <c r="Q31" s="82">
        <f>P31*(1+'Conduit EBITDA and CF'!$C$33)</f>
        <v>12103999.418216681</v>
      </c>
      <c r="R31" s="82">
        <f>Q31*(1+'Conduit EBITDA and CF'!$C$33)</f>
        <v>12406599.403672097</v>
      </c>
      <c r="S31" s="82">
        <f>R31*(1+'Conduit EBITDA and CF'!$C$33)</f>
        <v>12716764.388763899</v>
      </c>
      <c r="T31" s="82">
        <f>S31*(1+'Conduit EBITDA and CF'!$C$33)</f>
        <v>13034683.498482995</v>
      </c>
      <c r="U31" s="82">
        <f>T31*(1+'Conduit EBITDA and CF'!$C$33)</f>
        <v>13360550.585945068</v>
      </c>
      <c r="V31" s="82">
        <f>U31*(1+'Conduit EBITDA and CF'!$C$33)</f>
        <v>13694564.350593694</v>
      </c>
      <c r="W31" s="82">
        <f>V31*(1+'Conduit EBITDA and CF'!$C$33)</f>
        <v>14036928.459358534</v>
      </c>
      <c r="X31" s="82">
        <f>W31*(1+'Conduit EBITDA and CF'!$C$33)</f>
        <v>14387851.670842497</v>
      </c>
      <c r="Y31" s="82">
        <f>X31*(1+'Conduit EBITDA and CF'!$C$33)</f>
        <v>14747547.962613558</v>
      </c>
      <c r="Z31" s="82">
        <f>Y31*(1+'Conduit EBITDA and CF'!$C$33)</f>
        <v>15116236.661678895</v>
      </c>
      <c r="AA31" s="82">
        <f>Z31*(1+'Conduit EBITDA and CF'!$C$33)</f>
        <v>15494142.578220867</v>
      </c>
      <c r="AB31" s="82">
        <f>AA31*(1+'Conduit EBITDA and CF'!$C$33)</f>
        <v>15881496.142676387</v>
      </c>
      <c r="AC31" s="82">
        <f>AB31*(1+'Conduit EBITDA and CF'!$C$33)</f>
        <v>16278533.546243295</v>
      </c>
      <c r="AD31" s="82">
        <f>AC31*(1+'Conduit EBITDA and CF'!$C$33)</f>
        <v>16685496.884899376</v>
      </c>
      <c r="AE31" s="82">
        <f>AD31*(1+'Conduit EBITDA and CF'!$C$33)</f>
        <v>17102634.30702186</v>
      </c>
      <c r="AF31" s="82">
        <f>AE31*(1+'Conduit EBITDA and CF'!$C$33)</f>
        <v>17530200.164697405</v>
      </c>
      <c r="AG31" s="82">
        <f>AF31*(1+'Conduit EBITDA and CF'!$C$33)</f>
        <v>17968455.168814838</v>
      </c>
      <c r="AH31" s="82">
        <f>AG31*(1+'Conduit EBITDA and CF'!$C$33)</f>
        <v>18417666.548035208</v>
      </c>
      <c r="AI31" s="44"/>
      <c r="AJ31" s="44"/>
    </row>
    <row r="32" spans="1:36" x14ac:dyDescent="0.2">
      <c r="A32" s="184">
        <v>32</v>
      </c>
      <c r="B32" s="68">
        <f>UpdatedTaxesMay</f>
        <v>10000000</v>
      </c>
      <c r="C32" s="14" t="s">
        <v>50</v>
      </c>
      <c r="D32" s="1" t="s">
        <v>208</v>
      </c>
      <c r="E32" s="83">
        <f>'Current PPA Cost'!D56</f>
        <v>10000000</v>
      </c>
      <c r="F32" s="83">
        <f>'Current PPA Cost'!E56</f>
        <v>9743589.743589744</v>
      </c>
      <c r="G32" s="83">
        <f>'Current PPA Cost'!F56</f>
        <v>9562179.4871794879</v>
      </c>
      <c r="H32" s="83">
        <f>'Current PPA Cost'!G56</f>
        <v>9381096.1538461559</v>
      </c>
      <c r="I32" s="83">
        <f>'Current PPA Cost'!H56</f>
        <v>9200349.551282052</v>
      </c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26">
        <v>23.74</v>
      </c>
      <c r="AJ32" s="26">
        <v>23.74</v>
      </c>
    </row>
    <row r="33" spans="1:36" x14ac:dyDescent="0.2">
      <c r="A33" s="184">
        <v>33</v>
      </c>
      <c r="B33" s="253">
        <f>AnnualCapitalInvestment</f>
        <v>3000000</v>
      </c>
      <c r="C33" s="14">
        <f>adminfeegrowthrate</f>
        <v>2.5000000000000001E-2</v>
      </c>
      <c r="D33" s="101" t="s">
        <v>212</v>
      </c>
      <c r="E33" s="83">
        <f>'EQ BOOK DEPR'!F7</f>
        <v>0</v>
      </c>
      <c r="F33" s="83">
        <f>'EQ BOOK DEPR'!G7</f>
        <v>3000000</v>
      </c>
      <c r="G33" s="83">
        <f>'EQ BOOK DEPR'!H7</f>
        <v>3090000</v>
      </c>
      <c r="H33" s="83">
        <f>'EQ BOOK DEPR'!I7</f>
        <v>3182700</v>
      </c>
      <c r="I33" s="83">
        <f>'EQ BOOK DEPR'!J7</f>
        <v>3278181</v>
      </c>
      <c r="J33" s="83">
        <f>'EQ BOOK DEPR'!K7</f>
        <v>3376526.43</v>
      </c>
      <c r="K33" s="83">
        <f>'EQ BOOK DEPR'!L7</f>
        <v>3477822.2229000004</v>
      </c>
      <c r="L33" s="83">
        <f>'EQ BOOK DEPR'!M7</f>
        <v>3582156.8895870005</v>
      </c>
      <c r="M33" s="83">
        <f>'EQ BOOK DEPR'!N7</f>
        <v>3689621.5962746106</v>
      </c>
      <c r="N33" s="83">
        <f>'EQ BOOK DEPR'!O7</f>
        <v>3800310.2441628492</v>
      </c>
      <c r="O33" s="83">
        <f>'EQ BOOK DEPR'!P7</f>
        <v>3914319.5514877345</v>
      </c>
      <c r="P33" s="83">
        <f>'EQ BOOK DEPR'!Q7</f>
        <v>4031749.1380323665</v>
      </c>
      <c r="Q33" s="83">
        <f>'EQ BOOK DEPR'!R7</f>
        <v>4152701.6121733375</v>
      </c>
      <c r="R33" s="83">
        <f>'EQ BOOK DEPR'!S7</f>
        <v>4277282.6605385374</v>
      </c>
      <c r="S33" s="83">
        <f>'EQ BOOK DEPR'!T7</f>
        <v>4405601.1403546939</v>
      </c>
      <c r="T33" s="83">
        <f>'EQ BOOK DEPR'!U7</f>
        <v>4537769.1745653348</v>
      </c>
      <c r="U33" s="83">
        <f>'EQ BOOK DEPR'!V7</f>
        <v>4673902.2498022951</v>
      </c>
      <c r="V33" s="83">
        <f>'EQ BOOK DEPR'!W7</f>
        <v>4814119.3172963643</v>
      </c>
      <c r="W33" s="83">
        <f>'EQ BOOK DEPR'!X7</f>
        <v>4958542.8968152553</v>
      </c>
      <c r="X33" s="83">
        <f>'EQ BOOK DEPR'!Y7</f>
        <v>5107299.1837197132</v>
      </c>
      <c r="Y33" s="83">
        <f>'EQ BOOK DEPR'!Z7</f>
        <v>5260518.1592313051</v>
      </c>
      <c r="Z33" s="83">
        <f>'EQ BOOK DEPR'!AA7</f>
        <v>5418333.704008244</v>
      </c>
      <c r="AA33" s="83">
        <f>'EQ BOOK DEPR'!AB7</f>
        <v>5580883.7151284916</v>
      </c>
      <c r="AB33" s="83">
        <f>'EQ BOOK DEPR'!AC7</f>
        <v>5748310.2265823465</v>
      </c>
      <c r="AC33" s="83">
        <f>'EQ BOOK DEPR'!AD7</f>
        <v>5920759.5333798174</v>
      </c>
      <c r="AD33" s="83">
        <f>'EQ BOOK DEPR'!AE7</f>
        <v>6098382.3193812119</v>
      </c>
      <c r="AE33" s="83">
        <f>'EQ BOOK DEPR'!AF7</f>
        <v>6281333.7889626483</v>
      </c>
      <c r="AF33" s="83">
        <f>'EQ BOOK DEPR'!AG7</f>
        <v>6469773.8026315281</v>
      </c>
      <c r="AG33" s="83">
        <f>'EQ BOOK DEPR'!AH7</f>
        <v>6663867.0167104742</v>
      </c>
      <c r="AH33" s="83">
        <f>'EQ BOOK DEPR'!AI7</f>
        <v>6863783.0272117881</v>
      </c>
      <c r="AI33" s="26"/>
      <c r="AJ33" s="26"/>
    </row>
    <row r="34" spans="1:36" x14ac:dyDescent="0.2">
      <c r="A34" s="184">
        <v>34</v>
      </c>
      <c r="B34" s="68">
        <f>UpdatedInsuranceMay</f>
        <v>1000000</v>
      </c>
      <c r="C34" s="14">
        <f>'Inputs '!$D$5</f>
        <v>2.5000000000000001E-2</v>
      </c>
      <c r="D34" s="1" t="s">
        <v>62</v>
      </c>
      <c r="E34" s="82">
        <f>'Conduit EBITDA and CF'!E35</f>
        <v>1000000</v>
      </c>
      <c r="F34" s="82">
        <f>'Conduit EBITDA and CF'!F35</f>
        <v>1024999.9999999999</v>
      </c>
      <c r="G34" s="82">
        <f>'Conduit EBITDA and CF'!G35</f>
        <v>1050624.9999999998</v>
      </c>
      <c r="H34" s="82">
        <f>'Conduit EBITDA and CF'!H35</f>
        <v>1076890.6249999998</v>
      </c>
      <c r="I34" s="82">
        <f>'Conduit EBITDA and CF'!I35</f>
        <v>1103812.8906249998</v>
      </c>
      <c r="J34" s="82">
        <f>I34*(1+$C$34)</f>
        <v>1131408.2128906248</v>
      </c>
      <c r="K34" s="82">
        <f t="shared" ref="K34:AH34" si="14">J34*(1+$C$34)</f>
        <v>1159693.4182128904</v>
      </c>
      <c r="L34" s="82">
        <f t="shared" si="14"/>
        <v>1188685.7536682126</v>
      </c>
      <c r="M34" s="82">
        <f t="shared" si="14"/>
        <v>1218402.8975099178</v>
      </c>
      <c r="N34" s="82">
        <f t="shared" si="14"/>
        <v>1248862.9699476657</v>
      </c>
      <c r="O34" s="82">
        <f t="shared" si="14"/>
        <v>1280084.5441963573</v>
      </c>
      <c r="P34" s="82">
        <f t="shared" si="14"/>
        <v>1312086.6578012661</v>
      </c>
      <c r="Q34" s="82">
        <f t="shared" si="14"/>
        <v>1344888.8242462976</v>
      </c>
      <c r="R34" s="82">
        <f t="shared" si="14"/>
        <v>1378511.0448524549</v>
      </c>
      <c r="S34" s="82">
        <f t="shared" si="14"/>
        <v>1412973.8209737663</v>
      </c>
      <c r="T34" s="82">
        <f t="shared" si="14"/>
        <v>1448298.1664981104</v>
      </c>
      <c r="U34" s="82">
        <f t="shared" si="14"/>
        <v>1484505.620660563</v>
      </c>
      <c r="V34" s="82">
        <f t="shared" si="14"/>
        <v>1521618.261177077</v>
      </c>
      <c r="W34" s="82">
        <f t="shared" si="14"/>
        <v>1559658.7177065038</v>
      </c>
      <c r="X34" s="82">
        <f t="shared" si="14"/>
        <v>1598650.1856491663</v>
      </c>
      <c r="Y34" s="82">
        <f t="shared" si="14"/>
        <v>1638616.4402903954</v>
      </c>
      <c r="Z34" s="82">
        <f t="shared" si="14"/>
        <v>1679581.8512976551</v>
      </c>
      <c r="AA34" s="82">
        <f t="shared" si="14"/>
        <v>1721571.3975800963</v>
      </c>
      <c r="AB34" s="82">
        <f t="shared" si="14"/>
        <v>1764610.6825195986</v>
      </c>
      <c r="AC34" s="82">
        <f t="shared" si="14"/>
        <v>1808725.9495825884</v>
      </c>
      <c r="AD34" s="82">
        <f t="shared" si="14"/>
        <v>1853944.0983221529</v>
      </c>
      <c r="AE34" s="82">
        <f t="shared" si="14"/>
        <v>1900292.7007802066</v>
      </c>
      <c r="AF34" s="82">
        <f t="shared" si="14"/>
        <v>1947800.0182997116</v>
      </c>
      <c r="AG34" s="82">
        <f t="shared" si="14"/>
        <v>1996495.0187572043</v>
      </c>
      <c r="AH34" s="82">
        <f t="shared" si="14"/>
        <v>2046407.3942261343</v>
      </c>
      <c r="AI34" s="16" t="e">
        <f>+#REF!/AI11</f>
        <v>#REF!</v>
      </c>
      <c r="AJ34" s="16" t="e">
        <f>+#REF!/AJ11</f>
        <v>#REF!</v>
      </c>
    </row>
    <row r="35" spans="1:36" x14ac:dyDescent="0.2">
      <c r="A35" s="184">
        <v>35</v>
      </c>
      <c r="B35" s="261">
        <f>'Inputs '!J16</f>
        <v>3</v>
      </c>
      <c r="C35" s="14">
        <f>'Inputs '!K16</f>
        <v>2.5000000000000001E-2</v>
      </c>
      <c r="D35" s="101" t="s">
        <v>41</v>
      </c>
      <c r="E35" s="82">
        <f>B35*E11</f>
        <v>2365200</v>
      </c>
      <c r="F35" s="82">
        <f>($B$35*F11)*((1+$C$35)^E3)</f>
        <v>2424330</v>
      </c>
      <c r="G35" s="82">
        <f t="shared" ref="G35:AH35" si="15">($B$35*G11)*((1+$C$35)^F3)</f>
        <v>2484938.25</v>
      </c>
      <c r="H35" s="82">
        <f t="shared" si="15"/>
        <v>2547061.7062499998</v>
      </c>
      <c r="I35" s="82">
        <f t="shared" si="15"/>
        <v>2610738.2489062496</v>
      </c>
      <c r="J35" s="82">
        <f t="shared" si="15"/>
        <v>2676006.7051289054</v>
      </c>
      <c r="K35" s="82">
        <f t="shared" si="15"/>
        <v>2742906.872757128</v>
      </c>
      <c r="L35" s="82">
        <f t="shared" si="15"/>
        <v>2811479.5445760563</v>
      </c>
      <c r="M35" s="82">
        <f t="shared" si="15"/>
        <v>2881766.5331904572</v>
      </c>
      <c r="N35" s="82">
        <f t="shared" si="15"/>
        <v>2953810.6965202182</v>
      </c>
      <c r="O35" s="82">
        <f t="shared" si="15"/>
        <v>3027655.9639332239</v>
      </c>
      <c r="P35" s="82">
        <f t="shared" si="15"/>
        <v>3103347.3630315545</v>
      </c>
      <c r="Q35" s="82">
        <f t="shared" si="15"/>
        <v>3180931.0471073431</v>
      </c>
      <c r="R35" s="82">
        <f t="shared" si="15"/>
        <v>3260454.3232850265</v>
      </c>
      <c r="S35" s="82">
        <f t="shared" si="15"/>
        <v>3341965.6813671514</v>
      </c>
      <c r="T35" s="82">
        <f t="shared" si="15"/>
        <v>3425514.823401331</v>
      </c>
      <c r="U35" s="82">
        <f t="shared" si="15"/>
        <v>3511152.6939863637</v>
      </c>
      <c r="V35" s="82">
        <f t="shared" si="15"/>
        <v>3598931.5113360225</v>
      </c>
      <c r="W35" s="82">
        <f t="shared" si="15"/>
        <v>3688904.7991194231</v>
      </c>
      <c r="X35" s="82">
        <f t="shared" si="15"/>
        <v>3781127.4190974087</v>
      </c>
      <c r="Y35" s="82">
        <f t="shared" si="15"/>
        <v>3875655.6045748438</v>
      </c>
      <c r="Z35" s="82">
        <f t="shared" si="15"/>
        <v>3972546.994689214</v>
      </c>
      <c r="AA35" s="82">
        <f t="shared" si="15"/>
        <v>4071860.6695564445</v>
      </c>
      <c r="AB35" s="82">
        <f t="shared" si="15"/>
        <v>4173657.1862953557</v>
      </c>
      <c r="AC35" s="82">
        <f t="shared" si="15"/>
        <v>4277998.6159527395</v>
      </c>
      <c r="AD35" s="82">
        <f t="shared" si="15"/>
        <v>4384948.5813515568</v>
      </c>
      <c r="AE35" s="82">
        <f t="shared" si="15"/>
        <v>4494572.2958853459</v>
      </c>
      <c r="AF35" s="82">
        <f t="shared" si="15"/>
        <v>4606936.6032824796</v>
      </c>
      <c r="AG35" s="82">
        <f t="shared" si="15"/>
        <v>4722110.0183645412</v>
      </c>
      <c r="AH35" s="82">
        <f t="shared" si="15"/>
        <v>4840162.7688236553</v>
      </c>
      <c r="AI35" s="16"/>
      <c r="AJ35" s="16"/>
    </row>
    <row r="36" spans="1:36" x14ac:dyDescent="0.2">
      <c r="A36" s="184">
        <v>36</v>
      </c>
      <c r="B36" s="202">
        <f>'Inputs '!$J$17</f>
        <v>37.799999999999997</v>
      </c>
      <c r="C36" s="14">
        <v>2.5000000000000001E-2</v>
      </c>
      <c r="D36" s="1" t="s">
        <v>42</v>
      </c>
      <c r="E36" s="84">
        <f>B36*E11</f>
        <v>29801519.999999996</v>
      </c>
      <c r="F36" s="84">
        <f>($B$36*F11)*((1+$C$36)^E3)</f>
        <v>30546557.999999993</v>
      </c>
      <c r="G36" s="84">
        <f t="shared" ref="G36:AH36" si="16">($B$36*G11)*((1+$C$36)^F3)</f>
        <v>31310221.949999996</v>
      </c>
      <c r="H36" s="84">
        <f t="shared" si="16"/>
        <v>32092977.498749994</v>
      </c>
      <c r="I36" s="84">
        <f t="shared" si="16"/>
        <v>32895301.936218739</v>
      </c>
      <c r="J36" s="84">
        <f>($B$36*J11)*((1+$C$36)^I3)</f>
        <v>33717684.484624207</v>
      </c>
      <c r="K36" s="84">
        <f t="shared" si="16"/>
        <v>34560626.596739806</v>
      </c>
      <c r="L36" s="84">
        <f t="shared" si="16"/>
        <v>35424642.261658303</v>
      </c>
      <c r="M36" s="84">
        <f t="shared" si="16"/>
        <v>36310258.318199761</v>
      </c>
      <c r="N36" s="84">
        <f t="shared" si="16"/>
        <v>37218014.776154749</v>
      </c>
      <c r="O36" s="84">
        <f t="shared" si="16"/>
        <v>38148465.145558618</v>
      </c>
      <c r="P36" s="84">
        <f t="shared" si="16"/>
        <v>39102176.774197578</v>
      </c>
      <c r="Q36" s="84">
        <f t="shared" si="16"/>
        <v>40079731.193552516</v>
      </c>
      <c r="R36" s="84">
        <f t="shared" si="16"/>
        <v>41081724.473391324</v>
      </c>
      <c r="S36" s="84">
        <f t="shared" si="16"/>
        <v>42108767.585226104</v>
      </c>
      <c r="T36" s="84">
        <f t="shared" si="16"/>
        <v>43161486.774856761</v>
      </c>
      <c r="U36" s="84">
        <f t="shared" si="16"/>
        <v>44240523.94422818</v>
      </c>
      <c r="V36" s="84">
        <f t="shared" si="16"/>
        <v>45346537.04283388</v>
      </c>
      <c r="W36" s="84">
        <f t="shared" si="16"/>
        <v>46480200.468904726</v>
      </c>
      <c r="X36" s="84">
        <f t="shared" si="16"/>
        <v>47642205.480627343</v>
      </c>
      <c r="Y36" s="84">
        <f t="shared" si="16"/>
        <v>48833260.617643021</v>
      </c>
      <c r="Z36" s="84">
        <f t="shared" si="16"/>
        <v>50054092.133084096</v>
      </c>
      <c r="AA36" s="84">
        <f t="shared" si="16"/>
        <v>51305444.436411195</v>
      </c>
      <c r="AB36" s="84">
        <f t="shared" si="16"/>
        <v>52588080.547321476</v>
      </c>
      <c r="AC36" s="84">
        <f t="shared" si="16"/>
        <v>53902782.561004512</v>
      </c>
      <c r="AD36" s="84">
        <f t="shared" si="16"/>
        <v>55250352.125029616</v>
      </c>
      <c r="AE36" s="84">
        <f t="shared" si="16"/>
        <v>56631610.928155348</v>
      </c>
      <c r="AF36" s="84">
        <f t="shared" si="16"/>
        <v>58047401.201359227</v>
      </c>
      <c r="AG36" s="84">
        <f t="shared" si="16"/>
        <v>59498586.231393203</v>
      </c>
      <c r="AH36" s="84">
        <f t="shared" si="16"/>
        <v>60986050.887178041</v>
      </c>
      <c r="AI36" s="45">
        <f>+AH36*(1+$C36)</f>
        <v>62510702.159357488</v>
      </c>
      <c r="AJ36" s="45">
        <f>+AI36*(1+$C36)</f>
        <v>64073469.713341422</v>
      </c>
    </row>
    <row r="37" spans="1:36" ht="12.75" customHeight="1" x14ac:dyDescent="0.2">
      <c r="B37" s="105"/>
      <c r="C37" s="6"/>
      <c r="D37" s="5" t="s">
        <v>57</v>
      </c>
      <c r="E37" s="85">
        <f>SUM(E31:E36)</f>
        <v>52166720</v>
      </c>
      <c r="F37" s="85">
        <f>SUM(F31:F36)</f>
        <v>55964477.743589737</v>
      </c>
      <c r="G37" s="85">
        <f>SUM(G31:G36)</f>
        <v>56953589.687179483</v>
      </c>
      <c r="H37" s="85">
        <f>SUM(H31:H36)</f>
        <v>57972741.60884615</v>
      </c>
      <c r="I37" s="85">
        <f>SUM(I31:I36)</f>
        <v>59022699.642657042</v>
      </c>
      <c r="J37" s="85">
        <f t="shared" ref="J37:AH37" si="17">SUM(J31:J36)</f>
        <v>51084299.748659357</v>
      </c>
      <c r="K37" s="85">
        <f t="shared" si="17"/>
        <v>52378289.874525845</v>
      </c>
      <c r="L37" s="85">
        <f t="shared" si="17"/>
        <v>53705136.232503489</v>
      </c>
      <c r="M37" s="85">
        <f t="shared" si="17"/>
        <v>55065675.422764011</v>
      </c>
      <c r="N37" s="85">
        <f t="shared" si="17"/>
        <v>56460765.416314475</v>
      </c>
      <c r="O37" s="85">
        <f t="shared" si="17"/>
        <v>57891286.102943152</v>
      </c>
      <c r="P37" s="85">
        <f t="shared" si="17"/>
        <v>59358139.853274167</v>
      </c>
      <c r="Q37" s="85">
        <f t="shared" si="17"/>
        <v>60862252.095296174</v>
      </c>
      <c r="R37" s="85">
        <f t="shared" si="17"/>
        <v>62404571.905739442</v>
      </c>
      <c r="S37" s="85">
        <f t="shared" si="17"/>
        <v>63986072.616685614</v>
      </c>
      <c r="T37" s="85">
        <f t="shared" si="17"/>
        <v>65607752.437804535</v>
      </c>
      <c r="U37" s="85">
        <f t="shared" si="17"/>
        <v>67270635.094622463</v>
      </c>
      <c r="V37" s="85">
        <f t="shared" si="17"/>
        <v>68975770.483237028</v>
      </c>
      <c r="W37" s="85">
        <f t="shared" si="17"/>
        <v>70724235.341904446</v>
      </c>
      <c r="X37" s="85">
        <f t="shared" si="17"/>
        <v>72517133.939936131</v>
      </c>
      <c r="Y37" s="85">
        <f t="shared" si="17"/>
        <v>74355598.784353122</v>
      </c>
      <c r="Z37" s="85">
        <f t="shared" si="17"/>
        <v>76240791.344758108</v>
      </c>
      <c r="AA37" s="85">
        <f t="shared" si="17"/>
        <v>78173902.796897084</v>
      </c>
      <c r="AB37" s="85">
        <f t="shared" si="17"/>
        <v>80156154.78539516</v>
      </c>
      <c r="AC37" s="85">
        <f t="shared" si="17"/>
        <v>82188800.206162959</v>
      </c>
      <c r="AD37" s="85">
        <f t="shared" si="17"/>
        <v>84273124.00898391</v>
      </c>
      <c r="AE37" s="85">
        <f t="shared" si="17"/>
        <v>86410444.020805404</v>
      </c>
      <c r="AF37" s="85">
        <f t="shared" si="17"/>
        <v>88602111.790270358</v>
      </c>
      <c r="AG37" s="85">
        <f t="shared" si="17"/>
        <v>90849513.454040259</v>
      </c>
      <c r="AH37" s="85">
        <f t="shared" si="17"/>
        <v>93154070.625474826</v>
      </c>
      <c r="AI37" s="3" t="e">
        <f>SUM(AI31:AI36)</f>
        <v>#REF!</v>
      </c>
      <c r="AJ37" s="3" t="e">
        <f>SUM(AJ31:AJ36)</f>
        <v>#REF!</v>
      </c>
    </row>
    <row r="38" spans="1:36" ht="12.75" customHeight="1" x14ac:dyDescent="0.2">
      <c r="A38" s="184"/>
      <c r="B38" s="67"/>
      <c r="C38" s="6"/>
      <c r="E38" s="7"/>
      <c r="F38" s="11"/>
      <c r="G38" s="11"/>
      <c r="H38" s="11"/>
      <c r="I38" s="11"/>
      <c r="J38" s="11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ht="12.75" customHeight="1" x14ac:dyDescent="0.2">
      <c r="A39" s="184">
        <v>39</v>
      </c>
      <c r="B39" s="67"/>
      <c r="C39" s="6"/>
      <c r="D39" s="5" t="s">
        <v>95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12.75" customHeight="1" x14ac:dyDescent="0.2">
      <c r="A40" s="184">
        <v>40</v>
      </c>
      <c r="B40" s="68">
        <f>OandMLOCAmount</f>
        <v>0</v>
      </c>
      <c r="C40" s="14">
        <f>OandMLOCFee</f>
        <v>0</v>
      </c>
      <c r="D40" s="101" t="s">
        <v>92</v>
      </c>
      <c r="E40" s="83">
        <f>$C$40*$B$40</f>
        <v>0</v>
      </c>
      <c r="F40" s="83">
        <f t="shared" ref="F40:AH40" si="18">$C$40*$B$40</f>
        <v>0</v>
      </c>
      <c r="G40" s="83">
        <f t="shared" si="18"/>
        <v>0</v>
      </c>
      <c r="H40" s="83">
        <f t="shared" si="18"/>
        <v>0</v>
      </c>
      <c r="I40" s="83">
        <f t="shared" si="18"/>
        <v>0</v>
      </c>
      <c r="J40" s="83">
        <f t="shared" si="18"/>
        <v>0</v>
      </c>
      <c r="K40" s="83">
        <f t="shared" si="18"/>
        <v>0</v>
      </c>
      <c r="L40" s="83">
        <f t="shared" si="18"/>
        <v>0</v>
      </c>
      <c r="M40" s="83">
        <f t="shared" si="18"/>
        <v>0</v>
      </c>
      <c r="N40" s="83">
        <f t="shared" si="18"/>
        <v>0</v>
      </c>
      <c r="O40" s="83">
        <f t="shared" si="18"/>
        <v>0</v>
      </c>
      <c r="P40" s="83">
        <f t="shared" si="18"/>
        <v>0</v>
      </c>
      <c r="Q40" s="83">
        <f t="shared" si="18"/>
        <v>0</v>
      </c>
      <c r="R40" s="83">
        <f t="shared" si="18"/>
        <v>0</v>
      </c>
      <c r="S40" s="83">
        <f t="shared" si="18"/>
        <v>0</v>
      </c>
      <c r="T40" s="83">
        <f t="shared" si="18"/>
        <v>0</v>
      </c>
      <c r="U40" s="83">
        <f t="shared" si="18"/>
        <v>0</v>
      </c>
      <c r="V40" s="83">
        <f t="shared" si="18"/>
        <v>0</v>
      </c>
      <c r="W40" s="83">
        <f t="shared" si="18"/>
        <v>0</v>
      </c>
      <c r="X40" s="83">
        <f t="shared" si="18"/>
        <v>0</v>
      </c>
      <c r="Y40" s="83">
        <f t="shared" si="18"/>
        <v>0</v>
      </c>
      <c r="Z40" s="83">
        <f t="shared" si="18"/>
        <v>0</v>
      </c>
      <c r="AA40" s="83">
        <f t="shared" si="18"/>
        <v>0</v>
      </c>
      <c r="AB40" s="83">
        <f t="shared" si="18"/>
        <v>0</v>
      </c>
      <c r="AC40" s="83">
        <f t="shared" si="18"/>
        <v>0</v>
      </c>
      <c r="AD40" s="83">
        <f t="shared" si="18"/>
        <v>0</v>
      </c>
      <c r="AE40" s="83">
        <f t="shared" si="18"/>
        <v>0</v>
      </c>
      <c r="AF40" s="83">
        <f t="shared" si="18"/>
        <v>0</v>
      </c>
      <c r="AG40" s="83">
        <f t="shared" si="18"/>
        <v>0</v>
      </c>
      <c r="AH40" s="83">
        <f t="shared" si="18"/>
        <v>0</v>
      </c>
      <c r="AI40" s="3"/>
      <c r="AJ40" s="3"/>
    </row>
    <row r="41" spans="1:36" ht="12.75" customHeight="1" x14ac:dyDescent="0.2">
      <c r="A41" s="184">
        <v>41</v>
      </c>
      <c r="B41" s="67"/>
      <c r="C41" s="6"/>
      <c r="D41" s="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2">
      <c r="A42" s="184">
        <v>42</v>
      </c>
      <c r="C42" s="66"/>
      <c r="D42" s="86" t="s">
        <v>33</v>
      </c>
      <c r="E42" s="8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9"/>
      <c r="AJ42" s="19"/>
    </row>
    <row r="43" spans="1:36" ht="12.75" customHeight="1" x14ac:dyDescent="0.2">
      <c r="A43" s="184">
        <v>43</v>
      </c>
      <c r="B43" s="14"/>
      <c r="C43" s="65"/>
      <c r="D43" s="1" t="s">
        <v>71</v>
      </c>
      <c r="E43" s="88">
        <f>'Purchase Price and DS Calcs'!D30</f>
        <v>-6164939.8442916125</v>
      </c>
      <c r="F43" s="88">
        <f>'Purchase Price and DS Calcs'!E30</f>
        <v>-6164939.8442916125</v>
      </c>
      <c r="G43" s="88">
        <f>'Purchase Price and DS Calcs'!F30</f>
        <v>-6164939.8442916125</v>
      </c>
      <c r="H43" s="88">
        <f>'Purchase Price and DS Calcs'!G30</f>
        <v>-6164939.8442916125</v>
      </c>
      <c r="I43" s="88">
        <f>'Purchase Price and DS Calcs'!H30</f>
        <v>-6164939.8442916125</v>
      </c>
      <c r="J43" s="88">
        <f>'Purchase Price and DS Calcs'!I30</f>
        <v>-6164939.8442916125</v>
      </c>
      <c r="K43" s="88">
        <f>'Purchase Price and DS Calcs'!J30</f>
        <v>-6164939.8442916125</v>
      </c>
      <c r="L43" s="88">
        <f>'Purchase Price and DS Calcs'!K30</f>
        <v>-6164939.8442916125</v>
      </c>
      <c r="M43" s="88">
        <f>'Purchase Price and DS Calcs'!L30</f>
        <v>-6164939.8442916125</v>
      </c>
      <c r="N43" s="88">
        <f>'Purchase Price and DS Calcs'!M30</f>
        <v>-6164939.8442916125</v>
      </c>
      <c r="O43" s="88">
        <f>'Purchase Price and DS Calcs'!N30</f>
        <v>-6164939.8442916125</v>
      </c>
      <c r="P43" s="88">
        <f>'Purchase Price and DS Calcs'!O30</f>
        <v>-6164939.8442916125</v>
      </c>
      <c r="Q43" s="88">
        <f>'Purchase Price and DS Calcs'!P30</f>
        <v>-6164939.8442916125</v>
      </c>
      <c r="R43" s="88">
        <f>'Purchase Price and DS Calcs'!Q30</f>
        <v>-6164939.8442916125</v>
      </c>
      <c r="S43" s="88">
        <f>'Purchase Price and DS Calcs'!R30</f>
        <v>-6164939.8442916125</v>
      </c>
      <c r="T43" s="88">
        <f>'Purchase Price and DS Calcs'!S30</f>
        <v>-6164939.8442916125</v>
      </c>
      <c r="U43" s="88">
        <f>'Purchase Price and DS Calcs'!T30</f>
        <v>-6164939.8442916125</v>
      </c>
      <c r="V43" s="88">
        <f>'Purchase Price and DS Calcs'!U30</f>
        <v>-6164939.8442916125</v>
      </c>
      <c r="W43" s="88">
        <f>'Purchase Price and DS Calcs'!V30</f>
        <v>-6164939.8442916125</v>
      </c>
      <c r="X43" s="88">
        <f>'Purchase Price and DS Calcs'!W30</f>
        <v>-6164939.8442916125</v>
      </c>
      <c r="Y43" s="88">
        <f>'Purchase Price and DS Calcs'!X30</f>
        <v>-6164939.8442916125</v>
      </c>
      <c r="Z43" s="88">
        <f>'Purchase Price and DS Calcs'!Y30</f>
        <v>-6164939.8442916125</v>
      </c>
      <c r="AA43" s="88">
        <f>'Purchase Price and DS Calcs'!Z30</f>
        <v>-6164939.8442916125</v>
      </c>
      <c r="AB43" s="88">
        <f>'Purchase Price and DS Calcs'!AA30</f>
        <v>-6164939.8442916125</v>
      </c>
      <c r="AC43" s="88">
        <f>'Purchase Price and DS Calcs'!AB30</f>
        <v>-6164939.8442916125</v>
      </c>
      <c r="AD43" s="88">
        <f>'Purchase Price and DS Calcs'!AC30</f>
        <v>-6164939.8442916125</v>
      </c>
      <c r="AE43" s="88">
        <f>'Purchase Price and DS Calcs'!AD30</f>
        <v>-6164939.8442916125</v>
      </c>
      <c r="AF43" s="88">
        <f>'Purchase Price and DS Calcs'!AE30</f>
        <v>-6164939.8442916125</v>
      </c>
      <c r="AG43" s="88">
        <f>'Purchase Price and DS Calcs'!AF30</f>
        <v>-6164939.8442916125</v>
      </c>
      <c r="AH43" s="88">
        <f>'Purchase Price and DS Calcs'!AG30</f>
        <v>-6164939.8442916125</v>
      </c>
      <c r="AI43" s="58">
        <f>$E$43*((1+$A$48)^(AI3-$E$3))</f>
        <v>-3.131924211044869E+57</v>
      </c>
      <c r="AJ43" s="58">
        <f>$E$43*((1+$A$48)^(AJ3-$E$3))</f>
        <v>-1.5346428634119857E+59</v>
      </c>
    </row>
    <row r="44" spans="1:36" ht="12.75" customHeight="1" x14ac:dyDescent="0.2">
      <c r="A44" s="184">
        <v>44</v>
      </c>
      <c r="B44" s="14"/>
      <c r="C44" s="65"/>
      <c r="D44" s="22" t="s">
        <v>68</v>
      </c>
      <c r="E44" s="89">
        <f>'Purchase Price and DS Calcs'!D40</f>
        <v>-1615027.3475376384</v>
      </c>
      <c r="F44" s="89">
        <f>'Purchase Price and DS Calcs'!E40</f>
        <v>-1615027.3475376384</v>
      </c>
      <c r="G44" s="89">
        <f>'Purchase Price and DS Calcs'!F40</f>
        <v>-1615027.3475376384</v>
      </c>
      <c r="H44" s="89">
        <f>'Purchase Price and DS Calcs'!G40</f>
        <v>-1615027.3475376384</v>
      </c>
      <c r="I44" s="89">
        <f>'Purchase Price and DS Calcs'!H40</f>
        <v>-1615027.3475376384</v>
      </c>
      <c r="J44" s="89">
        <f>'Purchase Price and DS Calcs'!I40</f>
        <v>-1615027.3475376384</v>
      </c>
      <c r="K44" s="89">
        <f>'Purchase Price and DS Calcs'!J40</f>
        <v>-1615027.3475376384</v>
      </c>
      <c r="L44" s="89">
        <f>'Purchase Price and DS Calcs'!K40</f>
        <v>-1615027.3475376384</v>
      </c>
      <c r="M44" s="89">
        <f>'Purchase Price and DS Calcs'!L40</f>
        <v>-1615027.3475376384</v>
      </c>
      <c r="N44" s="89">
        <f>'Purchase Price and DS Calcs'!M40</f>
        <v>-1615027.3475376384</v>
      </c>
      <c r="O44" s="89">
        <f>'Purchase Price and DS Calcs'!N40</f>
        <v>-1615027.3475376384</v>
      </c>
      <c r="P44" s="89">
        <f>'Purchase Price and DS Calcs'!O40</f>
        <v>-1615027.3475376384</v>
      </c>
      <c r="Q44" s="89">
        <f>'Purchase Price and DS Calcs'!P40</f>
        <v>-1615027.3475376384</v>
      </c>
      <c r="R44" s="89">
        <f>'Purchase Price and DS Calcs'!Q40</f>
        <v>-1615027.3475376384</v>
      </c>
      <c r="S44" s="89">
        <f>'Purchase Price and DS Calcs'!R40</f>
        <v>-1615027.3475376384</v>
      </c>
      <c r="T44" s="89">
        <f>'Purchase Price and DS Calcs'!S40</f>
        <v>-1615027.3475376384</v>
      </c>
      <c r="U44" s="89">
        <f>'Purchase Price and DS Calcs'!T40</f>
        <v>-1615027.3475376384</v>
      </c>
      <c r="V44" s="89">
        <f>'Purchase Price and DS Calcs'!U40</f>
        <v>-1615027.3475376384</v>
      </c>
      <c r="W44" s="89">
        <f>'Purchase Price and DS Calcs'!V40</f>
        <v>-1615027.3475376384</v>
      </c>
      <c r="X44" s="89">
        <f>'Purchase Price and DS Calcs'!W40</f>
        <v>-1615027.3475376384</v>
      </c>
      <c r="Y44" s="89">
        <f>'Purchase Price and DS Calcs'!X40</f>
        <v>-1615027.3475376384</v>
      </c>
      <c r="Z44" s="89">
        <f>'Purchase Price and DS Calcs'!Y40</f>
        <v>-1615027.3475376384</v>
      </c>
      <c r="AA44" s="89">
        <f>'Purchase Price and DS Calcs'!Z40</f>
        <v>-1615027.3475376384</v>
      </c>
      <c r="AB44" s="89">
        <f>'Purchase Price and DS Calcs'!AA40</f>
        <v>-1615027.3475376384</v>
      </c>
      <c r="AC44" s="89">
        <f>'Purchase Price and DS Calcs'!AB40</f>
        <v>-1615027.3475376384</v>
      </c>
      <c r="AD44" s="89">
        <f>'Purchase Price and DS Calcs'!AC40</f>
        <v>-1615027.3475376384</v>
      </c>
      <c r="AE44" s="89">
        <f>'Purchase Price and DS Calcs'!AD40</f>
        <v>-1615027.3475376384</v>
      </c>
      <c r="AF44" s="89">
        <f>'Purchase Price and DS Calcs'!AE40</f>
        <v>-1615027.3475376384</v>
      </c>
      <c r="AG44" s="89">
        <f>'Purchase Price and DS Calcs'!AF40</f>
        <v>-1615027.3475376384</v>
      </c>
      <c r="AH44" s="89">
        <f>'Purchase Price and DS Calcs'!AG40</f>
        <v>-1615027.3475376384</v>
      </c>
      <c r="AI44" s="59" t="e">
        <f>('Conduit EBITDA and CF'!#REF!*'GRU Benefit'!$B$44)/(AI11*$B$44)</f>
        <v>#REF!</v>
      </c>
      <c r="AJ44" s="59" t="e">
        <f>('Conduit EBITDA and CF'!#REF!*'GRU Benefit'!$B$44)/(AJ11*$B$44)</f>
        <v>#REF!</v>
      </c>
    </row>
    <row r="45" spans="1:36" ht="12.75" customHeight="1" x14ac:dyDescent="0.2">
      <c r="A45" s="184">
        <v>45</v>
      </c>
      <c r="B45" s="14"/>
      <c r="C45" s="65"/>
      <c r="D45" s="5" t="s">
        <v>60</v>
      </c>
      <c r="E45" s="88">
        <f>E44+E43</f>
        <v>-7779967.1918292511</v>
      </c>
      <c r="F45" s="88">
        <f t="shared" ref="F45:AH45" si="19">F44+F43</f>
        <v>-7779967.1918292511</v>
      </c>
      <c r="G45" s="88">
        <f t="shared" si="19"/>
        <v>-7779967.1918292511</v>
      </c>
      <c r="H45" s="88">
        <f t="shared" si="19"/>
        <v>-7779967.1918292511</v>
      </c>
      <c r="I45" s="88">
        <f t="shared" si="19"/>
        <v>-7779967.1918292511</v>
      </c>
      <c r="J45" s="88">
        <f t="shared" si="19"/>
        <v>-7779967.1918292511</v>
      </c>
      <c r="K45" s="88">
        <f t="shared" si="19"/>
        <v>-7779967.1918292511</v>
      </c>
      <c r="L45" s="88">
        <f t="shared" si="19"/>
        <v>-7779967.1918292511</v>
      </c>
      <c r="M45" s="88">
        <f t="shared" si="19"/>
        <v>-7779967.1918292511</v>
      </c>
      <c r="N45" s="88">
        <f t="shared" si="19"/>
        <v>-7779967.1918292511</v>
      </c>
      <c r="O45" s="88">
        <f t="shared" si="19"/>
        <v>-7779967.1918292511</v>
      </c>
      <c r="P45" s="88">
        <f t="shared" si="19"/>
        <v>-7779967.1918292511</v>
      </c>
      <c r="Q45" s="88">
        <f t="shared" si="19"/>
        <v>-7779967.1918292511</v>
      </c>
      <c r="R45" s="88">
        <f t="shared" si="19"/>
        <v>-7779967.1918292511</v>
      </c>
      <c r="S45" s="88">
        <f t="shared" si="19"/>
        <v>-7779967.1918292511</v>
      </c>
      <c r="T45" s="88">
        <f t="shared" si="19"/>
        <v>-7779967.1918292511</v>
      </c>
      <c r="U45" s="88">
        <f t="shared" si="19"/>
        <v>-7779967.1918292511</v>
      </c>
      <c r="V45" s="88">
        <f t="shared" si="19"/>
        <v>-7779967.1918292511</v>
      </c>
      <c r="W45" s="88">
        <f t="shared" si="19"/>
        <v>-7779967.1918292511</v>
      </c>
      <c r="X45" s="88">
        <f t="shared" si="19"/>
        <v>-7779967.1918292511</v>
      </c>
      <c r="Y45" s="88">
        <f t="shared" si="19"/>
        <v>-7779967.1918292511</v>
      </c>
      <c r="Z45" s="88">
        <f t="shared" si="19"/>
        <v>-7779967.1918292511</v>
      </c>
      <c r="AA45" s="88">
        <f t="shared" si="19"/>
        <v>-7779967.1918292511</v>
      </c>
      <c r="AB45" s="88">
        <f t="shared" si="19"/>
        <v>-7779967.1918292511</v>
      </c>
      <c r="AC45" s="88">
        <f t="shared" si="19"/>
        <v>-7779967.1918292511</v>
      </c>
      <c r="AD45" s="88">
        <f t="shared" si="19"/>
        <v>-7779967.1918292511</v>
      </c>
      <c r="AE45" s="88">
        <f t="shared" si="19"/>
        <v>-7779967.1918292511</v>
      </c>
      <c r="AF45" s="88">
        <f t="shared" si="19"/>
        <v>-7779967.1918292511</v>
      </c>
      <c r="AG45" s="88">
        <f t="shared" si="19"/>
        <v>-7779967.1918292511</v>
      </c>
      <c r="AH45" s="88">
        <f t="shared" si="19"/>
        <v>-7779967.1918292511</v>
      </c>
      <c r="AI45" s="58" t="e">
        <f>($C$45*$B$45)/(AI11*$B$45)</f>
        <v>#DIV/0!</v>
      </c>
      <c r="AJ45" s="58" t="e">
        <f>($C$45*$B$45)/(AJ11*$B$45)</f>
        <v>#DIV/0!</v>
      </c>
    </row>
    <row r="46" spans="1:36" ht="15" x14ac:dyDescent="0.35">
      <c r="A46" s="184"/>
      <c r="B46" s="14"/>
      <c r="C46" s="65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</row>
    <row r="47" spans="1:36" ht="15" x14ac:dyDescent="0.35">
      <c r="A47" s="184">
        <v>47</v>
      </c>
      <c r="B47" s="14"/>
      <c r="C47" s="70"/>
      <c r="D47" s="5" t="s">
        <v>100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</row>
    <row r="48" spans="1:36" ht="15" x14ac:dyDescent="0.35">
      <c r="A48" s="184">
        <v>48</v>
      </c>
      <c r="B48" s="14"/>
      <c r="C48" s="70"/>
      <c r="D48" s="1" t="s">
        <v>96</v>
      </c>
      <c r="E48" s="88">
        <f>'Inputs '!$C$43</f>
        <v>788400</v>
      </c>
      <c r="F48" s="88">
        <f>'Inputs '!$C$43</f>
        <v>788400</v>
      </c>
      <c r="G48" s="88">
        <f>'Inputs '!$C$43</f>
        <v>788400</v>
      </c>
      <c r="H48" s="88">
        <f>'Inputs '!$C$43</f>
        <v>788400</v>
      </c>
      <c r="I48" s="88">
        <f>'Inputs '!$C$43</f>
        <v>788400</v>
      </c>
      <c r="J48" s="88">
        <f>'Inputs '!$C$43</f>
        <v>788400</v>
      </c>
      <c r="K48" s="88">
        <f>'Inputs '!$C$43</f>
        <v>788400</v>
      </c>
      <c r="L48" s="88">
        <f>'Inputs '!$C$43</f>
        <v>788400</v>
      </c>
      <c r="M48" s="88">
        <f>'Inputs '!$C$43</f>
        <v>788400</v>
      </c>
      <c r="N48" s="88">
        <f>'Inputs '!$C$43</f>
        <v>788400</v>
      </c>
      <c r="O48" s="88">
        <f>'Inputs '!$C$43</f>
        <v>788400</v>
      </c>
      <c r="P48" s="88">
        <f>'Inputs '!$C$43</f>
        <v>788400</v>
      </c>
      <c r="Q48" s="88">
        <f>'Inputs '!$C$43</f>
        <v>788400</v>
      </c>
      <c r="R48" s="88">
        <f>'Inputs '!$C$43</f>
        <v>788400</v>
      </c>
      <c r="S48" s="88">
        <f>'Inputs '!$C$43</f>
        <v>788400</v>
      </c>
      <c r="T48" s="88">
        <f>'Inputs '!$C$43</f>
        <v>788400</v>
      </c>
      <c r="U48" s="88">
        <f>'Inputs '!$C$43</f>
        <v>788400</v>
      </c>
      <c r="V48" s="88">
        <f>'Inputs '!$C$43</f>
        <v>788400</v>
      </c>
      <c r="W48" s="88">
        <f>'Inputs '!$C$43</f>
        <v>788400</v>
      </c>
      <c r="X48" s="88">
        <f>'Inputs '!$C$43</f>
        <v>788400</v>
      </c>
      <c r="Y48" s="88">
        <f>'Inputs '!$C$43</f>
        <v>788400</v>
      </c>
      <c r="Z48" s="88">
        <f>'Inputs '!$C$43</f>
        <v>788400</v>
      </c>
      <c r="AA48" s="88">
        <f>'Inputs '!$C$43</f>
        <v>788400</v>
      </c>
      <c r="AB48" s="88">
        <f>'Inputs '!$C$43</f>
        <v>788400</v>
      </c>
      <c r="AC48" s="88">
        <f>'Inputs '!$C$43</f>
        <v>788400</v>
      </c>
      <c r="AD48" s="88">
        <f>'Inputs '!$C$43</f>
        <v>788400</v>
      </c>
      <c r="AE48" s="88">
        <f>'Inputs '!$C$43</f>
        <v>788400</v>
      </c>
      <c r="AF48" s="88">
        <f>'Inputs '!$C$43</f>
        <v>788400</v>
      </c>
      <c r="AG48" s="88">
        <f>'Inputs '!$C$43</f>
        <v>788400</v>
      </c>
      <c r="AH48" s="88">
        <f>'Inputs '!$C$43</f>
        <v>788400</v>
      </c>
      <c r="AI48" s="60"/>
      <c r="AJ48" s="60"/>
    </row>
    <row r="49" spans="1:36" ht="15" x14ac:dyDescent="0.35">
      <c r="A49" s="184">
        <v>49</v>
      </c>
      <c r="B49" s="14"/>
      <c r="C49" s="70"/>
      <c r="D49" s="1" t="s">
        <v>97</v>
      </c>
      <c r="E49" s="102">
        <f>E11</f>
        <v>788400</v>
      </c>
      <c r="F49" s="102">
        <f>F11</f>
        <v>788400</v>
      </c>
      <c r="G49" s="102">
        <f t="shared" ref="G49:AH49" si="20">G11</f>
        <v>788400</v>
      </c>
      <c r="H49" s="102">
        <f t="shared" si="20"/>
        <v>788400</v>
      </c>
      <c r="I49" s="102">
        <f t="shared" si="20"/>
        <v>788400</v>
      </c>
      <c r="J49" s="102">
        <f t="shared" si="20"/>
        <v>788400</v>
      </c>
      <c r="K49" s="102">
        <f t="shared" si="20"/>
        <v>788400</v>
      </c>
      <c r="L49" s="102">
        <f t="shared" si="20"/>
        <v>788400</v>
      </c>
      <c r="M49" s="102">
        <f t="shared" si="20"/>
        <v>788400</v>
      </c>
      <c r="N49" s="102">
        <f t="shared" si="20"/>
        <v>788400</v>
      </c>
      <c r="O49" s="102">
        <f t="shared" si="20"/>
        <v>788400</v>
      </c>
      <c r="P49" s="102">
        <f t="shared" si="20"/>
        <v>788400</v>
      </c>
      <c r="Q49" s="102">
        <f t="shared" si="20"/>
        <v>788400</v>
      </c>
      <c r="R49" s="102">
        <f t="shared" si="20"/>
        <v>788400</v>
      </c>
      <c r="S49" s="102">
        <f t="shared" si="20"/>
        <v>788400</v>
      </c>
      <c r="T49" s="102">
        <f t="shared" si="20"/>
        <v>788400</v>
      </c>
      <c r="U49" s="102">
        <f t="shared" si="20"/>
        <v>788400</v>
      </c>
      <c r="V49" s="102">
        <f t="shared" si="20"/>
        <v>788400</v>
      </c>
      <c r="W49" s="102">
        <f t="shared" si="20"/>
        <v>788400</v>
      </c>
      <c r="X49" s="102">
        <f t="shared" si="20"/>
        <v>788400</v>
      </c>
      <c r="Y49" s="102">
        <f t="shared" si="20"/>
        <v>788400</v>
      </c>
      <c r="Z49" s="102">
        <f t="shared" si="20"/>
        <v>788400</v>
      </c>
      <c r="AA49" s="102">
        <f t="shared" si="20"/>
        <v>788400</v>
      </c>
      <c r="AB49" s="102">
        <f t="shared" si="20"/>
        <v>788400</v>
      </c>
      <c r="AC49" s="102">
        <f t="shared" si="20"/>
        <v>788400</v>
      </c>
      <c r="AD49" s="102">
        <f t="shared" si="20"/>
        <v>788400</v>
      </c>
      <c r="AE49" s="102">
        <f t="shared" si="20"/>
        <v>788400</v>
      </c>
      <c r="AF49" s="102">
        <f t="shared" si="20"/>
        <v>788400</v>
      </c>
      <c r="AG49" s="102">
        <f t="shared" si="20"/>
        <v>788400</v>
      </c>
      <c r="AH49" s="102">
        <f t="shared" si="20"/>
        <v>788400</v>
      </c>
      <c r="AI49" s="60"/>
      <c r="AJ49" s="60"/>
    </row>
    <row r="50" spans="1:36" ht="15" x14ac:dyDescent="0.35">
      <c r="A50" s="184">
        <v>50</v>
      </c>
      <c r="B50" s="14"/>
      <c r="C50" s="70"/>
      <c r="D50" s="1" t="s">
        <v>59</v>
      </c>
      <c r="E50" s="83">
        <f>E48-E49</f>
        <v>0</v>
      </c>
      <c r="F50" s="83">
        <f>F48-F49</f>
        <v>0</v>
      </c>
      <c r="G50" s="83">
        <f t="shared" ref="G50:AH50" si="21">G48-G49</f>
        <v>0</v>
      </c>
      <c r="H50" s="83">
        <f t="shared" si="21"/>
        <v>0</v>
      </c>
      <c r="I50" s="83">
        <f t="shared" si="21"/>
        <v>0</v>
      </c>
      <c r="J50" s="83">
        <f t="shared" si="21"/>
        <v>0</v>
      </c>
      <c r="K50" s="83">
        <f t="shared" si="21"/>
        <v>0</v>
      </c>
      <c r="L50" s="83">
        <f t="shared" si="21"/>
        <v>0</v>
      </c>
      <c r="M50" s="83">
        <f t="shared" si="21"/>
        <v>0</v>
      </c>
      <c r="N50" s="83">
        <f t="shared" si="21"/>
        <v>0</v>
      </c>
      <c r="O50" s="83">
        <f t="shared" si="21"/>
        <v>0</v>
      </c>
      <c r="P50" s="83">
        <f t="shared" si="21"/>
        <v>0</v>
      </c>
      <c r="Q50" s="83">
        <f t="shared" si="21"/>
        <v>0</v>
      </c>
      <c r="R50" s="83">
        <f t="shared" si="21"/>
        <v>0</v>
      </c>
      <c r="S50" s="83">
        <f t="shared" si="21"/>
        <v>0</v>
      </c>
      <c r="T50" s="83">
        <f t="shared" si="21"/>
        <v>0</v>
      </c>
      <c r="U50" s="83">
        <f t="shared" si="21"/>
        <v>0</v>
      </c>
      <c r="V50" s="83">
        <f t="shared" si="21"/>
        <v>0</v>
      </c>
      <c r="W50" s="83">
        <f t="shared" si="21"/>
        <v>0</v>
      </c>
      <c r="X50" s="83">
        <f t="shared" si="21"/>
        <v>0</v>
      </c>
      <c r="Y50" s="83">
        <f t="shared" si="21"/>
        <v>0</v>
      </c>
      <c r="Z50" s="83">
        <f t="shared" si="21"/>
        <v>0</v>
      </c>
      <c r="AA50" s="83">
        <f t="shared" si="21"/>
        <v>0</v>
      </c>
      <c r="AB50" s="83">
        <f t="shared" si="21"/>
        <v>0</v>
      </c>
      <c r="AC50" s="83">
        <f t="shared" si="21"/>
        <v>0</v>
      </c>
      <c r="AD50" s="83">
        <f t="shared" si="21"/>
        <v>0</v>
      </c>
      <c r="AE50" s="83">
        <f t="shared" si="21"/>
        <v>0</v>
      </c>
      <c r="AF50" s="83">
        <f t="shared" si="21"/>
        <v>0</v>
      </c>
      <c r="AG50" s="83">
        <f t="shared" si="21"/>
        <v>0</v>
      </c>
      <c r="AH50" s="83">
        <f t="shared" si="21"/>
        <v>0</v>
      </c>
      <c r="AI50" s="60"/>
      <c r="AJ50" s="60"/>
    </row>
    <row r="51" spans="1:36" ht="15" x14ac:dyDescent="0.35">
      <c r="A51" s="184">
        <v>51</v>
      </c>
      <c r="B51" s="57">
        <f>MarketPriceofPower</f>
        <v>60</v>
      </c>
      <c r="C51" s="14">
        <f>MarketPriceGrowthRt</f>
        <v>2.5000000000000001E-2</v>
      </c>
      <c r="D51" s="1" t="s">
        <v>98</v>
      </c>
      <c r="E51" s="55">
        <f>MarketPriceofPower</f>
        <v>60</v>
      </c>
      <c r="F51" s="55">
        <f>$E$51*((1+$C$51)^E3)</f>
        <v>61.499999999999993</v>
      </c>
      <c r="G51" s="55">
        <f t="shared" ref="G51:AH51" si="22">$E$51*((1+$C$51)^F3)</f>
        <v>63.037499999999994</v>
      </c>
      <c r="H51" s="55">
        <f t="shared" si="22"/>
        <v>64.613437499999989</v>
      </c>
      <c r="I51" s="55">
        <f t="shared" si="22"/>
        <v>66.228773437499981</v>
      </c>
      <c r="J51" s="55">
        <f t="shared" si="22"/>
        <v>67.884492773437472</v>
      </c>
      <c r="K51" s="55">
        <f t="shared" si="22"/>
        <v>69.581605092773415</v>
      </c>
      <c r="L51" s="55">
        <f t="shared" si="22"/>
        <v>71.321145220092745</v>
      </c>
      <c r="M51" s="55">
        <f t="shared" si="22"/>
        <v>73.10417385059506</v>
      </c>
      <c r="N51" s="55">
        <f t="shared" si="22"/>
        <v>74.931778196859923</v>
      </c>
      <c r="O51" s="55">
        <f t="shared" si="22"/>
        <v>76.80507265178143</v>
      </c>
      <c r="P51" s="55">
        <f t="shared" si="22"/>
        <v>78.725199468075957</v>
      </c>
      <c r="Q51" s="55">
        <f t="shared" si="22"/>
        <v>80.693329454777853</v>
      </c>
      <c r="R51" s="55">
        <f t="shared" si="22"/>
        <v>82.710662691147292</v>
      </c>
      <c r="S51" s="55">
        <f t="shared" si="22"/>
        <v>84.778429258425973</v>
      </c>
      <c r="T51" s="55">
        <f t="shared" si="22"/>
        <v>86.897889989886636</v>
      </c>
      <c r="U51" s="55">
        <f t="shared" si="22"/>
        <v>89.070337239633787</v>
      </c>
      <c r="V51" s="55">
        <f t="shared" si="22"/>
        <v>91.297095670624614</v>
      </c>
      <c r="W51" s="55">
        <f t="shared" si="22"/>
        <v>93.579523062390237</v>
      </c>
      <c r="X51" s="55">
        <f t="shared" si="22"/>
        <v>95.919011138949998</v>
      </c>
      <c r="Y51" s="55">
        <f t="shared" si="22"/>
        <v>98.316986417423735</v>
      </c>
      <c r="Z51" s="55">
        <f t="shared" si="22"/>
        <v>100.77491107785931</v>
      </c>
      <c r="AA51" s="55">
        <f t="shared" si="22"/>
        <v>103.2942838548058</v>
      </c>
      <c r="AB51" s="55">
        <f t="shared" si="22"/>
        <v>105.87664095117594</v>
      </c>
      <c r="AC51" s="55">
        <f t="shared" si="22"/>
        <v>108.52355697495534</v>
      </c>
      <c r="AD51" s="55">
        <f t="shared" si="22"/>
        <v>111.2366458993292</v>
      </c>
      <c r="AE51" s="55">
        <f t="shared" si="22"/>
        <v>114.01756204681243</v>
      </c>
      <c r="AF51" s="55">
        <f t="shared" si="22"/>
        <v>116.86800109798273</v>
      </c>
      <c r="AG51" s="55">
        <f t="shared" si="22"/>
        <v>119.78970112543229</v>
      </c>
      <c r="AH51" s="55">
        <f t="shared" si="22"/>
        <v>122.7844436535681</v>
      </c>
      <c r="AI51" s="60"/>
      <c r="AJ51" s="60"/>
    </row>
    <row r="52" spans="1:36" ht="15" x14ac:dyDescent="0.35">
      <c r="A52" s="184">
        <v>52</v>
      </c>
      <c r="B52" s="14"/>
      <c r="C52" s="70"/>
      <c r="D52" s="1" t="s">
        <v>99</v>
      </c>
      <c r="E52" s="88">
        <f>E51*E50</f>
        <v>0</v>
      </c>
      <c r="F52" s="88">
        <f>F51*F50</f>
        <v>0</v>
      </c>
      <c r="G52" s="88">
        <f t="shared" ref="G52:AH52" si="23">G51*G50</f>
        <v>0</v>
      </c>
      <c r="H52" s="88">
        <f t="shared" si="23"/>
        <v>0</v>
      </c>
      <c r="I52" s="88">
        <f t="shared" si="23"/>
        <v>0</v>
      </c>
      <c r="J52" s="88">
        <f t="shared" si="23"/>
        <v>0</v>
      </c>
      <c r="K52" s="88">
        <f t="shared" si="23"/>
        <v>0</v>
      </c>
      <c r="L52" s="88">
        <f t="shared" si="23"/>
        <v>0</v>
      </c>
      <c r="M52" s="88">
        <f t="shared" si="23"/>
        <v>0</v>
      </c>
      <c r="N52" s="88">
        <f t="shared" si="23"/>
        <v>0</v>
      </c>
      <c r="O52" s="88">
        <f t="shared" si="23"/>
        <v>0</v>
      </c>
      <c r="P52" s="88">
        <f t="shared" si="23"/>
        <v>0</v>
      </c>
      <c r="Q52" s="88">
        <f t="shared" si="23"/>
        <v>0</v>
      </c>
      <c r="R52" s="88">
        <f t="shared" si="23"/>
        <v>0</v>
      </c>
      <c r="S52" s="88">
        <f t="shared" si="23"/>
        <v>0</v>
      </c>
      <c r="T52" s="88">
        <f t="shared" si="23"/>
        <v>0</v>
      </c>
      <c r="U52" s="88">
        <f t="shared" si="23"/>
        <v>0</v>
      </c>
      <c r="V52" s="88">
        <f t="shared" si="23"/>
        <v>0</v>
      </c>
      <c r="W52" s="88">
        <f t="shared" si="23"/>
        <v>0</v>
      </c>
      <c r="X52" s="88">
        <f t="shared" si="23"/>
        <v>0</v>
      </c>
      <c r="Y52" s="88">
        <f t="shared" si="23"/>
        <v>0</v>
      </c>
      <c r="Z52" s="88">
        <f t="shared" si="23"/>
        <v>0</v>
      </c>
      <c r="AA52" s="88">
        <f t="shared" si="23"/>
        <v>0</v>
      </c>
      <c r="AB52" s="88">
        <f t="shared" si="23"/>
        <v>0</v>
      </c>
      <c r="AC52" s="88">
        <f t="shared" si="23"/>
        <v>0</v>
      </c>
      <c r="AD52" s="88">
        <f t="shared" si="23"/>
        <v>0</v>
      </c>
      <c r="AE52" s="88">
        <f t="shared" si="23"/>
        <v>0</v>
      </c>
      <c r="AF52" s="88">
        <f t="shared" si="23"/>
        <v>0</v>
      </c>
      <c r="AG52" s="88">
        <f t="shared" si="23"/>
        <v>0</v>
      </c>
      <c r="AH52" s="88">
        <f t="shared" si="23"/>
        <v>0</v>
      </c>
      <c r="AI52" s="60"/>
      <c r="AJ52" s="60"/>
    </row>
    <row r="53" spans="1:36" ht="15" x14ac:dyDescent="0.35">
      <c r="A53" s="184"/>
      <c r="B53" s="14"/>
      <c r="C53" s="7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</row>
    <row r="54" spans="1:36" ht="15" x14ac:dyDescent="0.35">
      <c r="A54" s="184">
        <v>54</v>
      </c>
      <c r="B54" s="14"/>
      <c r="C54" s="68"/>
      <c r="D54" s="5" t="s">
        <v>101</v>
      </c>
      <c r="E54" s="90">
        <f>E45+E40+E37+E52</f>
        <v>44386752.808170751</v>
      </c>
      <c r="F54" s="90">
        <f t="shared" ref="F54:AH54" si="24">F45+F40+F37+F52</f>
        <v>48184510.551760487</v>
      </c>
      <c r="G54" s="90">
        <f t="shared" si="24"/>
        <v>49173622.495350234</v>
      </c>
      <c r="H54" s="90">
        <f t="shared" si="24"/>
        <v>50192774.417016901</v>
      </c>
      <c r="I54" s="90">
        <f t="shared" si="24"/>
        <v>51242732.450827792</v>
      </c>
      <c r="J54" s="90">
        <f t="shared" si="24"/>
        <v>43304332.556830108</v>
      </c>
      <c r="K54" s="90">
        <f t="shared" si="24"/>
        <v>44598322.682696596</v>
      </c>
      <c r="L54" s="90">
        <f t="shared" si="24"/>
        <v>45925169.040674239</v>
      </c>
      <c r="M54" s="90">
        <f t="shared" si="24"/>
        <v>47285708.230934761</v>
      </c>
      <c r="N54" s="90">
        <f t="shared" si="24"/>
        <v>48680798.224485226</v>
      </c>
      <c r="O54" s="90">
        <f t="shared" si="24"/>
        <v>50111318.911113903</v>
      </c>
      <c r="P54" s="90">
        <f t="shared" si="24"/>
        <v>51578172.661444917</v>
      </c>
      <c r="Q54" s="90">
        <f t="shared" si="24"/>
        <v>53082284.903466925</v>
      </c>
      <c r="R54" s="90">
        <f t="shared" si="24"/>
        <v>54624604.713910192</v>
      </c>
      <c r="S54" s="90">
        <f t="shared" si="24"/>
        <v>56206105.424856365</v>
      </c>
      <c r="T54" s="90">
        <f t="shared" si="24"/>
        <v>57827785.245975286</v>
      </c>
      <c r="U54" s="90">
        <f t="shared" si="24"/>
        <v>59490667.902793214</v>
      </c>
      <c r="V54" s="90">
        <f t="shared" si="24"/>
        <v>61195803.291407779</v>
      </c>
      <c r="W54" s="90">
        <f t="shared" si="24"/>
        <v>62944268.150075197</v>
      </c>
      <c r="X54" s="90">
        <f t="shared" si="24"/>
        <v>64737166.748106882</v>
      </c>
      <c r="Y54" s="90">
        <f t="shared" si="24"/>
        <v>66575631.592523873</v>
      </c>
      <c r="Z54" s="90">
        <f t="shared" si="24"/>
        <v>68460824.152928859</v>
      </c>
      <c r="AA54" s="90">
        <f t="shared" si="24"/>
        <v>70393935.605067834</v>
      </c>
      <c r="AB54" s="90">
        <f t="shared" si="24"/>
        <v>72376187.593565911</v>
      </c>
      <c r="AC54" s="90">
        <f t="shared" si="24"/>
        <v>74408833.01433371</v>
      </c>
      <c r="AD54" s="90">
        <f t="shared" si="24"/>
        <v>76493156.817154661</v>
      </c>
      <c r="AE54" s="90">
        <f t="shared" si="24"/>
        <v>78630476.828976154</v>
      </c>
      <c r="AF54" s="90">
        <f t="shared" si="24"/>
        <v>80822144.598441109</v>
      </c>
      <c r="AG54" s="90">
        <f t="shared" si="24"/>
        <v>83069546.26221101</v>
      </c>
      <c r="AH54" s="90">
        <f t="shared" si="24"/>
        <v>85374103.433645576</v>
      </c>
      <c r="AI54" s="60"/>
      <c r="AJ54" s="60"/>
    </row>
    <row r="55" spans="1:36" ht="15" x14ac:dyDescent="0.35">
      <c r="A55" s="184"/>
      <c r="B55" s="14"/>
      <c r="C55" s="68"/>
      <c r="D55" s="22"/>
      <c r="E55" s="255"/>
      <c r="F55" s="255"/>
      <c r="G55" s="255"/>
      <c r="H55" s="255"/>
      <c r="I55" s="255"/>
      <c r="J55" s="255"/>
      <c r="K55" s="255"/>
      <c r="L55" s="284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60"/>
      <c r="AJ55" s="60"/>
    </row>
    <row r="56" spans="1:36" ht="15.75" thickBot="1" x14ac:dyDescent="0.4">
      <c r="A56" s="184">
        <v>56</v>
      </c>
      <c r="B56" s="14"/>
      <c r="C56" s="68"/>
      <c r="D56" s="5" t="s">
        <v>87</v>
      </c>
      <c r="E56" s="90">
        <f>E28-E54</f>
        <v>61206747.191829249</v>
      </c>
      <c r="F56" s="90">
        <f t="shared" ref="F56:AH56" si="25">F28-F54</f>
        <v>57967784.791829236</v>
      </c>
      <c r="G56" s="90">
        <f t="shared" si="25"/>
        <v>57632848.331829228</v>
      </c>
      <c r="H56" s="90">
        <f t="shared" si="25"/>
        <v>57289088.460329242</v>
      </c>
      <c r="I56" s="90">
        <f t="shared" si="25"/>
        <v>56936271.092041746</v>
      </c>
      <c r="J56" s="90">
        <f t="shared" si="25"/>
        <v>65594105.665957317</v>
      </c>
      <c r="K56" s="90">
        <f>K28-K54</f>
        <v>65042403.318926543</v>
      </c>
      <c r="L56" s="90">
        <f>L28-L54</f>
        <v>64481270.952363729</v>
      </c>
      <c r="M56" s="90">
        <f t="shared" si="25"/>
        <v>63910459.461185671</v>
      </c>
      <c r="N56" s="90">
        <f t="shared" si="25"/>
        <v>63329713.112044223</v>
      </c>
      <c r="O56" s="90">
        <f t="shared" si="25"/>
        <v>62738769.365600526</v>
      </c>
      <c r="P56" s="90">
        <f t="shared" si="25"/>
        <v>62137358.693995595</v>
      </c>
      <c r="Q56" s="90">
        <f t="shared" si="25"/>
        <v>61525204.3933862</v>
      </c>
      <c r="R56" s="90">
        <f t="shared" si="25"/>
        <v>60902022.391411513</v>
      </c>
      <c r="S56" s="90">
        <f t="shared" si="25"/>
        <v>60267521.049452692</v>
      </c>
      <c r="T56" s="90">
        <f t="shared" si="25"/>
        <v>59621400.959542841</v>
      </c>
      <c r="U56" s="90">
        <f t="shared" si="25"/>
        <v>58963354.735781923</v>
      </c>
      <c r="V56" s="90">
        <f t="shared" si="25"/>
        <v>58293066.800106332</v>
      </c>
      <c r="W56" s="90">
        <f t="shared" si="25"/>
        <v>57610213.162259325</v>
      </c>
      <c r="X56" s="90">
        <f t="shared" si="25"/>
        <v>56914461.193803996</v>
      </c>
      <c r="Y56" s="90">
        <f t="shared" si="25"/>
        <v>56205469.396016106</v>
      </c>
      <c r="Z56" s="90">
        <f t="shared" si="25"/>
        <v>55482887.161489367</v>
      </c>
      <c r="AA56" s="90">
        <f t="shared" si="25"/>
        <v>54746354.529282376</v>
      </c>
      <c r="AB56" s="90">
        <f t="shared" si="25"/>
        <v>53995501.933429256</v>
      </c>
      <c r="AC56" s="90">
        <f t="shared" si="25"/>
        <v>53229949.944634497</v>
      </c>
      <c r="AD56" s="90">
        <f t="shared" si="25"/>
        <v>52449309.004963934</v>
      </c>
      <c r="AE56" s="90">
        <f t="shared" si="25"/>
        <v>51653179.155341744</v>
      </c>
      <c r="AF56" s="90">
        <f t="shared" si="25"/>
        <v>50841149.755656108</v>
      </c>
      <c r="AG56" s="90">
        <f t="shared" si="25"/>
        <v>50012799.197271556</v>
      </c>
      <c r="AH56" s="90">
        <f t="shared" si="25"/>
        <v>49167694.607740134</v>
      </c>
      <c r="AI56" s="60"/>
      <c r="AJ56" s="60"/>
    </row>
    <row r="57" spans="1:36" ht="15.75" thickBot="1" x14ac:dyDescent="0.4">
      <c r="A57" s="184">
        <v>57</v>
      </c>
      <c r="B57" s="14"/>
      <c r="C57" s="249">
        <f>NPVtoGRURate</f>
        <v>4.4999999999999998E-2</v>
      </c>
      <c r="D57" s="92">
        <f>NPV(C57,E56:AH56)</f>
        <v>963650332.39697325</v>
      </c>
      <c r="E57" s="307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</row>
    <row r="58" spans="1:36" ht="15" x14ac:dyDescent="0.35">
      <c r="A58" s="14"/>
      <c r="B58" s="14"/>
      <c r="C58" s="68"/>
      <c r="D58" s="234">
        <f>AVERAGE(E58:AH58)</f>
        <v>0.4961681198606151</v>
      </c>
      <c r="E58" s="286">
        <f>E56/E28</f>
        <v>0.57964502731540535</v>
      </c>
      <c r="F58" s="286">
        <f t="shared" ref="F58:AH58" si="26">F56/F28</f>
        <v>0.54608131274223803</v>
      </c>
      <c r="G58" s="286">
        <f t="shared" si="26"/>
        <v>0.53960071787301456</v>
      </c>
      <c r="H58" s="286">
        <f t="shared" si="26"/>
        <v>0.53301168147508926</v>
      </c>
      <c r="I58" s="286">
        <f t="shared" si="26"/>
        <v>0.52631535905651827</v>
      </c>
      <c r="J58" s="286">
        <f t="shared" si="26"/>
        <v>0.60234202378332635</v>
      </c>
      <c r="K58" s="286">
        <f t="shared" si="26"/>
        <v>0.59323214731324969</v>
      </c>
      <c r="L58" s="286">
        <f t="shared" si="26"/>
        <v>0.58403541456847807</v>
      </c>
      <c r="M58" s="286">
        <f t="shared" si="26"/>
        <v>0.57475415554015075</v>
      </c>
      <c r="N58" s="286">
        <f t="shared" si="26"/>
        <v>0.56539080445560652</v>
      </c>
      <c r="O58" s="286">
        <f t="shared" si="26"/>
        <v>0.55594789799155253</v>
      </c>
      <c r="P58" s="286">
        <f t="shared" si="26"/>
        <v>0.54642807322223141</v>
      </c>
      <c r="Q58" s="286">
        <f t="shared" si="26"/>
        <v>0.53683406530288202</v>
      </c>
      <c r="R58" s="286">
        <f t="shared" si="26"/>
        <v>0.52716870488990564</v>
      </c>
      <c r="S58" s="286">
        <f t="shared" si="26"/>
        <v>0.51743491530029828</v>
      </c>
      <c r="T58" s="286">
        <f t="shared" si="26"/>
        <v>0.50763570941406522</v>
      </c>
      <c r="U58" s="286">
        <f t="shared" si="26"/>
        <v>0.49777418632451081</v>
      </c>
      <c r="V58" s="286">
        <f t="shared" si="26"/>
        <v>0.48785352774246549</v>
      </c>
      <c r="W58" s="286">
        <f t="shared" si="26"/>
        <v>0.477876994161684</v>
      </c>
      <c r="X58" s="286">
        <f t="shared" si="26"/>
        <v>0.46784792079380039</v>
      </c>
      <c r="Y58" s="286">
        <f t="shared" si="26"/>
        <v>0.45776971328235733</v>
      </c>
      <c r="Z58" s="286">
        <f t="shared" si="26"/>
        <v>0.44764584320652911</v>
      </c>
      <c r="AA58" s="286">
        <f t="shared" si="26"/>
        <v>0.4374798433862257</v>
      </c>
      <c r="AB58" s="286">
        <f t="shared" si="26"/>
        <v>0.42727530300126981</v>
      </c>
      <c r="AC58" s="286">
        <f t="shared" si="26"/>
        <v>0.4170358625383182</v>
      </c>
      <c r="AD58" s="286">
        <f t="shared" si="26"/>
        <v>0.4067652085800802</v>
      </c>
      <c r="AE58" s="286">
        <f t="shared" si="26"/>
        <v>0.39646706845223306</v>
      </c>
      <c r="AF58" s="286">
        <f t="shared" si="26"/>
        <v>0.38614520474418002</v>
      </c>
      <c r="AG58" s="286">
        <f t="shared" si="26"/>
        <v>0.37580340972047377</v>
      </c>
      <c r="AH58" s="286">
        <f t="shared" si="26"/>
        <v>0.36544549964031187</v>
      </c>
      <c r="AI58" s="60"/>
      <c r="AJ58" s="60"/>
    </row>
    <row r="59" spans="1:36" ht="15" x14ac:dyDescent="0.35">
      <c r="A59" s="14"/>
      <c r="B59" s="14"/>
      <c r="C59" s="260"/>
      <c r="D59" s="23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60"/>
      <c r="AJ59" s="60"/>
    </row>
    <row r="60" spans="1:36" x14ac:dyDescent="0.2">
      <c r="E60" s="184" t="s">
        <v>197</v>
      </c>
      <c r="F60" s="184" t="s">
        <v>198</v>
      </c>
      <c r="G60" s="184" t="s">
        <v>199</v>
      </c>
    </row>
    <row r="61" spans="1:36" x14ac:dyDescent="0.2">
      <c r="E61" s="239">
        <f>E58</f>
        <v>0.57964502731540535</v>
      </c>
      <c r="F61" s="239">
        <f>AVERAGE(E58:N58)</f>
        <v>0.56444086441230767</v>
      </c>
      <c r="G61" s="239">
        <f>AVERAGE(E58:AH58)</f>
        <v>0.4961681198606151</v>
      </c>
    </row>
    <row r="62" spans="1:36" x14ac:dyDescent="0.2">
      <c r="E62" s="349" t="s">
        <v>213</v>
      </c>
      <c r="F62" s="349"/>
      <c r="G62" s="349"/>
    </row>
  </sheetData>
  <mergeCells count="1">
    <mergeCell ref="E62:G62"/>
  </mergeCells>
  <printOptions horizontalCentered="1"/>
  <pageMargins left="0.45" right="0.45" top="0.75" bottom="0.5" header="0.3" footer="0.3"/>
  <pageSetup scale="71" pageOrder="overThenDown" orientation="landscape" r:id="rId1"/>
  <headerFooter>
    <oddHeader>&amp;CDraft GRU Benefit
As of September 19, 2013</oddHeader>
    <oddFooter>&amp;CDraft GRU Benefit, As of September 19, 2013, Page &amp;P</oddFooter>
  </headerFooter>
  <rowBreaks count="1" manualBreakCount="1">
    <brk id="29" max="36" man="1"/>
  </rowBreaks>
  <colBreaks count="3" manualBreakCount="3">
    <brk id="10" min="1" max="61" man="1"/>
    <brk id="19" min="1" max="61" man="1"/>
    <brk id="28" min="1" max="6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theme="1"/>
  </sheetPr>
  <dimension ref="A1:EC161"/>
  <sheetViews>
    <sheetView topLeftCell="B1" zoomScaleNormal="100" workbookViewId="0">
      <selection activeCell="G5" sqref="G5"/>
    </sheetView>
  </sheetViews>
  <sheetFormatPr defaultRowHeight="11.25" x14ac:dyDescent="0.2"/>
  <cols>
    <col min="1" max="2" width="4.83203125" style="27" customWidth="1"/>
    <col min="3" max="3" width="4.83203125" style="28" customWidth="1"/>
    <col min="4" max="4" width="15.1640625" style="29" customWidth="1"/>
    <col min="5" max="5" width="26.83203125" style="29" customWidth="1"/>
    <col min="6" max="35" width="12.83203125" style="29" customWidth="1"/>
    <col min="36" max="49" width="12.83203125" style="29" hidden="1" customWidth="1"/>
    <col min="50" max="16384" width="9.33203125" style="29"/>
  </cols>
  <sheetData>
    <row r="1" spans="3:133" x14ac:dyDescent="0.2">
      <c r="D1" s="35">
        <v>520000000</v>
      </c>
    </row>
    <row r="2" spans="3:133" ht="13.5" x14ac:dyDescent="0.35">
      <c r="D2" s="95">
        <f>Updated1603GrantMay</f>
        <v>120000000</v>
      </c>
      <c r="E2" s="30"/>
      <c r="F2" s="30" t="s">
        <v>46</v>
      </c>
      <c r="O2" s="30" t="s">
        <v>46</v>
      </c>
      <c r="AA2" s="30" t="s">
        <v>46</v>
      </c>
      <c r="AM2" s="30" t="s">
        <v>46</v>
      </c>
    </row>
    <row r="3" spans="3:133" x14ac:dyDescent="0.2">
      <c r="D3" s="40">
        <f>D1-D2</f>
        <v>400000000</v>
      </c>
      <c r="E3" s="31" t="s">
        <v>12</v>
      </c>
      <c r="F3" s="32">
        <v>1</v>
      </c>
      <c r="G3" s="32">
        <f>+F3+1</f>
        <v>2</v>
      </c>
      <c r="H3" s="32">
        <f t="shared" ref="H3:W4" si="0">+G3+1</f>
        <v>3</v>
      </c>
      <c r="I3" s="32">
        <f t="shared" si="0"/>
        <v>4</v>
      </c>
      <c r="J3" s="32">
        <f t="shared" si="0"/>
        <v>5</v>
      </c>
      <c r="K3" s="32">
        <f t="shared" si="0"/>
        <v>6</v>
      </c>
      <c r="L3" s="32">
        <f t="shared" si="0"/>
        <v>7</v>
      </c>
      <c r="M3" s="32">
        <f t="shared" si="0"/>
        <v>8</v>
      </c>
      <c r="N3" s="32">
        <f t="shared" si="0"/>
        <v>9</v>
      </c>
      <c r="O3" s="32">
        <f t="shared" si="0"/>
        <v>10</v>
      </c>
      <c r="P3" s="32">
        <f t="shared" si="0"/>
        <v>11</v>
      </c>
      <c r="Q3" s="32">
        <f t="shared" si="0"/>
        <v>12</v>
      </c>
      <c r="R3" s="32">
        <f t="shared" si="0"/>
        <v>13</v>
      </c>
      <c r="S3" s="32">
        <f t="shared" si="0"/>
        <v>14</v>
      </c>
      <c r="T3" s="32">
        <f t="shared" si="0"/>
        <v>15</v>
      </c>
      <c r="U3" s="32">
        <f t="shared" si="0"/>
        <v>16</v>
      </c>
      <c r="V3" s="32">
        <f t="shared" si="0"/>
        <v>17</v>
      </c>
      <c r="W3" s="32">
        <f t="shared" si="0"/>
        <v>18</v>
      </c>
      <c r="X3" s="32">
        <f t="shared" ref="X3:AM4" si="1">+W3+1</f>
        <v>19</v>
      </c>
      <c r="Y3" s="32">
        <f t="shared" si="1"/>
        <v>20</v>
      </c>
      <c r="Z3" s="32">
        <f t="shared" si="1"/>
        <v>21</v>
      </c>
      <c r="AA3" s="32">
        <f t="shared" si="1"/>
        <v>22</v>
      </c>
      <c r="AB3" s="32">
        <f t="shared" si="1"/>
        <v>23</v>
      </c>
      <c r="AC3" s="32">
        <f t="shared" si="1"/>
        <v>24</v>
      </c>
      <c r="AD3" s="32">
        <f t="shared" si="1"/>
        <v>25</v>
      </c>
      <c r="AE3" s="32">
        <f t="shared" si="1"/>
        <v>26</v>
      </c>
      <c r="AF3" s="32">
        <f t="shared" si="1"/>
        <v>27</v>
      </c>
      <c r="AG3" s="32">
        <f t="shared" si="1"/>
        <v>28</v>
      </c>
      <c r="AH3" s="32">
        <f t="shared" si="1"/>
        <v>29</v>
      </c>
      <c r="AI3" s="32">
        <f t="shared" si="1"/>
        <v>30</v>
      </c>
      <c r="AJ3" s="32">
        <f t="shared" si="1"/>
        <v>31</v>
      </c>
      <c r="AK3" s="32">
        <f t="shared" si="1"/>
        <v>32</v>
      </c>
      <c r="AL3" s="32">
        <f t="shared" si="1"/>
        <v>33</v>
      </c>
      <c r="AM3" s="32">
        <f t="shared" si="1"/>
        <v>34</v>
      </c>
      <c r="AN3" s="32">
        <f t="shared" ref="AN3:AW4" si="2">+AM3+1</f>
        <v>35</v>
      </c>
      <c r="AO3" s="32">
        <f t="shared" si="2"/>
        <v>36</v>
      </c>
      <c r="AP3" s="32">
        <f t="shared" si="2"/>
        <v>37</v>
      </c>
      <c r="AQ3" s="32">
        <f t="shared" si="2"/>
        <v>38</v>
      </c>
      <c r="AR3" s="32">
        <f t="shared" si="2"/>
        <v>39</v>
      </c>
      <c r="AS3" s="32">
        <f t="shared" si="2"/>
        <v>40</v>
      </c>
      <c r="AT3" s="32">
        <f t="shared" si="2"/>
        <v>41</v>
      </c>
      <c r="AU3" s="32">
        <f t="shared" si="2"/>
        <v>42</v>
      </c>
      <c r="AV3" s="32">
        <f t="shared" si="2"/>
        <v>43</v>
      </c>
      <c r="AW3" s="32">
        <f t="shared" si="2"/>
        <v>44</v>
      </c>
    </row>
    <row r="4" spans="3:133" x14ac:dyDescent="0.2">
      <c r="E4" s="31" t="s">
        <v>29</v>
      </c>
      <c r="F4" s="32">
        <v>2014</v>
      </c>
      <c r="G4" s="32">
        <f>+F4+1</f>
        <v>2015</v>
      </c>
      <c r="H4" s="32">
        <f t="shared" si="0"/>
        <v>2016</v>
      </c>
      <c r="I4" s="32">
        <f t="shared" si="0"/>
        <v>2017</v>
      </c>
      <c r="J4" s="32">
        <f t="shared" si="0"/>
        <v>2018</v>
      </c>
      <c r="K4" s="32">
        <f t="shared" si="0"/>
        <v>2019</v>
      </c>
      <c r="L4" s="32">
        <f t="shared" si="0"/>
        <v>2020</v>
      </c>
      <c r="M4" s="32">
        <f t="shared" si="0"/>
        <v>2021</v>
      </c>
      <c r="N4" s="32">
        <f t="shared" si="0"/>
        <v>2022</v>
      </c>
      <c r="O4" s="32">
        <f t="shared" si="0"/>
        <v>2023</v>
      </c>
      <c r="P4" s="32">
        <f t="shared" si="0"/>
        <v>2024</v>
      </c>
      <c r="Q4" s="32">
        <f t="shared" si="0"/>
        <v>2025</v>
      </c>
      <c r="R4" s="32">
        <f t="shared" si="0"/>
        <v>2026</v>
      </c>
      <c r="S4" s="32">
        <f t="shared" si="0"/>
        <v>2027</v>
      </c>
      <c r="T4" s="32">
        <f t="shared" si="0"/>
        <v>2028</v>
      </c>
      <c r="U4" s="32">
        <f t="shared" si="0"/>
        <v>2029</v>
      </c>
      <c r="V4" s="32">
        <f t="shared" si="0"/>
        <v>2030</v>
      </c>
      <c r="W4" s="32">
        <f t="shared" si="0"/>
        <v>2031</v>
      </c>
      <c r="X4" s="32">
        <f t="shared" si="1"/>
        <v>2032</v>
      </c>
      <c r="Y4" s="32">
        <f t="shared" si="1"/>
        <v>2033</v>
      </c>
      <c r="Z4" s="32">
        <f t="shared" si="1"/>
        <v>2034</v>
      </c>
      <c r="AA4" s="32">
        <f t="shared" si="1"/>
        <v>2035</v>
      </c>
      <c r="AB4" s="32">
        <f t="shared" si="1"/>
        <v>2036</v>
      </c>
      <c r="AC4" s="32">
        <f t="shared" si="1"/>
        <v>2037</v>
      </c>
      <c r="AD4" s="32">
        <f t="shared" si="1"/>
        <v>2038</v>
      </c>
      <c r="AE4" s="32">
        <f t="shared" si="1"/>
        <v>2039</v>
      </c>
      <c r="AF4" s="32">
        <f t="shared" si="1"/>
        <v>2040</v>
      </c>
      <c r="AG4" s="32">
        <f t="shared" si="1"/>
        <v>2041</v>
      </c>
      <c r="AH4" s="32">
        <f t="shared" si="1"/>
        <v>2042</v>
      </c>
      <c r="AI4" s="32">
        <f t="shared" si="1"/>
        <v>2043</v>
      </c>
      <c r="AJ4" s="32">
        <f t="shared" si="1"/>
        <v>2044</v>
      </c>
      <c r="AK4" s="32">
        <f t="shared" si="1"/>
        <v>2045</v>
      </c>
      <c r="AL4" s="32">
        <f t="shared" si="1"/>
        <v>2046</v>
      </c>
      <c r="AM4" s="32">
        <f t="shared" si="1"/>
        <v>2047</v>
      </c>
      <c r="AN4" s="32">
        <f t="shared" si="2"/>
        <v>2048</v>
      </c>
      <c r="AO4" s="32">
        <f t="shared" si="2"/>
        <v>2049</v>
      </c>
      <c r="AP4" s="32">
        <f t="shared" si="2"/>
        <v>2050</v>
      </c>
      <c r="AQ4" s="32">
        <f t="shared" si="2"/>
        <v>2051</v>
      </c>
      <c r="AR4" s="32">
        <f t="shared" si="2"/>
        <v>2052</v>
      </c>
      <c r="AS4" s="32">
        <f t="shared" si="2"/>
        <v>2053</v>
      </c>
      <c r="AT4" s="32">
        <f t="shared" si="2"/>
        <v>2054</v>
      </c>
      <c r="AU4" s="32">
        <f t="shared" si="2"/>
        <v>2055</v>
      </c>
      <c r="AV4" s="32">
        <f t="shared" si="2"/>
        <v>2056</v>
      </c>
      <c r="AW4" s="32">
        <f t="shared" si="2"/>
        <v>2057</v>
      </c>
    </row>
    <row r="5" spans="3:133" x14ac:dyDescent="0.2"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</row>
    <row r="6" spans="3:133" x14ac:dyDescent="0.2">
      <c r="D6" s="33">
        <v>39</v>
      </c>
      <c r="E6" s="29" t="s">
        <v>24</v>
      </c>
      <c r="F6" s="34">
        <f>D3</f>
        <v>400000000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</row>
    <row r="7" spans="3:133" x14ac:dyDescent="0.2">
      <c r="C7" s="306">
        <v>0.03</v>
      </c>
      <c r="D7" s="33">
        <v>39</v>
      </c>
      <c r="E7" s="29" t="s">
        <v>25</v>
      </c>
      <c r="F7" s="35">
        <f>+'Conduit EBITDA and CF'!E67</f>
        <v>0</v>
      </c>
      <c r="G7" s="35">
        <f>+'Conduit EBITDA and CF'!F67</f>
        <v>3000000</v>
      </c>
      <c r="H7" s="35">
        <f>+'Conduit EBITDA and CF'!G67</f>
        <v>3090000</v>
      </c>
      <c r="I7" s="35">
        <f>+'Conduit EBITDA and CF'!H67</f>
        <v>3182700</v>
      </c>
      <c r="J7" s="35">
        <f>+'Conduit EBITDA and CF'!I67</f>
        <v>3278181</v>
      </c>
      <c r="K7" s="35">
        <f>J7*(1+$C$7)</f>
        <v>3376526.43</v>
      </c>
      <c r="L7" s="35">
        <f t="shared" ref="L7:AI7" si="3">K7*(1+$C$7)</f>
        <v>3477822.2229000004</v>
      </c>
      <c r="M7" s="35">
        <f t="shared" si="3"/>
        <v>3582156.8895870005</v>
      </c>
      <c r="N7" s="35">
        <f t="shared" si="3"/>
        <v>3689621.5962746106</v>
      </c>
      <c r="O7" s="35">
        <f t="shared" si="3"/>
        <v>3800310.2441628492</v>
      </c>
      <c r="P7" s="35">
        <f t="shared" si="3"/>
        <v>3914319.5514877345</v>
      </c>
      <c r="Q7" s="35">
        <f t="shared" si="3"/>
        <v>4031749.1380323665</v>
      </c>
      <c r="R7" s="35">
        <f t="shared" si="3"/>
        <v>4152701.6121733375</v>
      </c>
      <c r="S7" s="35">
        <f t="shared" si="3"/>
        <v>4277282.6605385374</v>
      </c>
      <c r="T7" s="35">
        <f t="shared" si="3"/>
        <v>4405601.1403546939</v>
      </c>
      <c r="U7" s="35">
        <f t="shared" si="3"/>
        <v>4537769.1745653348</v>
      </c>
      <c r="V7" s="35">
        <f t="shared" si="3"/>
        <v>4673902.2498022951</v>
      </c>
      <c r="W7" s="35">
        <f t="shared" si="3"/>
        <v>4814119.3172963643</v>
      </c>
      <c r="X7" s="35">
        <f t="shared" si="3"/>
        <v>4958542.8968152553</v>
      </c>
      <c r="Y7" s="35">
        <f t="shared" si="3"/>
        <v>5107299.1837197132</v>
      </c>
      <c r="Z7" s="35">
        <f t="shared" si="3"/>
        <v>5260518.1592313051</v>
      </c>
      <c r="AA7" s="35">
        <f t="shared" si="3"/>
        <v>5418333.704008244</v>
      </c>
      <c r="AB7" s="35">
        <f t="shared" si="3"/>
        <v>5580883.7151284916</v>
      </c>
      <c r="AC7" s="35">
        <f t="shared" si="3"/>
        <v>5748310.2265823465</v>
      </c>
      <c r="AD7" s="35">
        <f t="shared" si="3"/>
        <v>5920759.5333798174</v>
      </c>
      <c r="AE7" s="35">
        <f t="shared" si="3"/>
        <v>6098382.3193812119</v>
      </c>
      <c r="AF7" s="35">
        <f t="shared" si="3"/>
        <v>6281333.7889626483</v>
      </c>
      <c r="AG7" s="35">
        <f t="shared" si="3"/>
        <v>6469773.8026315281</v>
      </c>
      <c r="AH7" s="35">
        <f t="shared" si="3"/>
        <v>6663867.0167104742</v>
      </c>
      <c r="AI7" s="35">
        <f t="shared" si="3"/>
        <v>6863783.0272117881</v>
      </c>
      <c r="AJ7" s="35" t="e">
        <f>+'Conduit EBITDA and CF'!#REF!</f>
        <v>#REF!</v>
      </c>
      <c r="AK7" s="35" t="e">
        <f>+'Conduit EBITDA and CF'!#REF!</f>
        <v>#REF!</v>
      </c>
      <c r="AL7" s="35" t="e">
        <f>+'Conduit EBITDA and CF'!#REF!</f>
        <v>#REF!</v>
      </c>
      <c r="AM7" s="35" t="e">
        <f>+'Conduit EBITDA and CF'!#REF!</f>
        <v>#REF!</v>
      </c>
      <c r="AN7" s="35" t="e">
        <f>+'Conduit EBITDA and CF'!#REF!</f>
        <v>#REF!</v>
      </c>
      <c r="AO7" s="35" t="e">
        <f>+'Conduit EBITDA and CF'!#REF!</f>
        <v>#REF!</v>
      </c>
      <c r="AP7" s="35" t="e">
        <f>+'Conduit EBITDA and CF'!#REF!</f>
        <v>#REF!</v>
      </c>
      <c r="AQ7" s="35" t="e">
        <f>+'Conduit EBITDA and CF'!#REF!</f>
        <v>#REF!</v>
      </c>
      <c r="AR7" s="35" t="e">
        <f>+'Conduit EBITDA and CF'!#REF!</f>
        <v>#REF!</v>
      </c>
      <c r="AS7" s="35" t="e">
        <f>+'Conduit EBITDA and CF'!#REF!</f>
        <v>#REF!</v>
      </c>
      <c r="AT7" s="35" t="e">
        <f>+'Conduit EBITDA and CF'!#REF!</f>
        <v>#REF!</v>
      </c>
      <c r="AU7" s="35" t="e">
        <f>+'Conduit EBITDA and CF'!#REF!</f>
        <v>#REF!</v>
      </c>
      <c r="AV7" s="35" t="e">
        <f>+'Conduit EBITDA and CF'!#REF!</f>
        <v>#REF!</v>
      </c>
      <c r="AW7" s="35" t="e">
        <f>+'Conduit EBITDA and CF'!#REF!</f>
        <v>#REF!</v>
      </c>
    </row>
    <row r="8" spans="3:133" x14ac:dyDescent="0.2">
      <c r="D8" s="36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</row>
    <row r="9" spans="3:133" x14ac:dyDescent="0.2">
      <c r="D9" s="36"/>
      <c r="E9" s="37" t="s">
        <v>26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</row>
    <row r="10" spans="3:133" x14ac:dyDescent="0.2">
      <c r="D10" s="36"/>
      <c r="E10" s="29" t="s">
        <v>16</v>
      </c>
      <c r="F10" s="35">
        <f>+F6</f>
        <v>400000000</v>
      </c>
      <c r="G10" s="35">
        <f>+F13</f>
        <v>389743589.74358976</v>
      </c>
      <c r="H10" s="35">
        <f>+G13</f>
        <v>382487179.48717952</v>
      </c>
      <c r="I10" s="35">
        <f t="shared" ref="I10:AW10" si="4">+H13</f>
        <v>375243846.1538462</v>
      </c>
      <c r="J10" s="35">
        <f t="shared" si="4"/>
        <v>368013982.05128211</v>
      </c>
      <c r="K10" s="35">
        <f t="shared" si="4"/>
        <v>360797991.2564103</v>
      </c>
      <c r="L10" s="35">
        <f t="shared" si="4"/>
        <v>353596289.96846157</v>
      </c>
      <c r="M10" s="35">
        <f t="shared" si="4"/>
        <v>346409306.87264359</v>
      </c>
      <c r="N10" s="35">
        <f t="shared" si="4"/>
        <v>339237483.51472032</v>
      </c>
      <c r="O10" s="35">
        <f t="shared" si="4"/>
        <v>332081274.68682861</v>
      </c>
      <c r="P10" s="35">
        <f t="shared" si="4"/>
        <v>324941148.82486939</v>
      </c>
      <c r="Q10" s="35">
        <f t="shared" si="4"/>
        <v>317817588.41782063</v>
      </c>
      <c r="R10" s="35">
        <f t="shared" si="4"/>
        <v>310711090.42932963</v>
      </c>
      <c r="S10" s="35">
        <f t="shared" si="4"/>
        <v>303622166.73195308</v>
      </c>
      <c r="T10" s="35">
        <f t="shared" si="4"/>
        <v>296551344.55442452</v>
      </c>
      <c r="U10" s="35">
        <f t="shared" si="4"/>
        <v>289499166.9423393</v>
      </c>
      <c r="V10" s="35">
        <f t="shared" si="4"/>
        <v>282466193.23266077</v>
      </c>
      <c r="W10" s="35">
        <f t="shared" si="4"/>
        <v>275452999.5424611</v>
      </c>
      <c r="X10" s="35">
        <f t="shared" si="4"/>
        <v>268460179.27232468</v>
      </c>
      <c r="Y10" s="35">
        <f t="shared" si="4"/>
        <v>261488343.62485337</v>
      </c>
      <c r="Z10" s="35">
        <f t="shared" si="4"/>
        <v>254538122.13872719</v>
      </c>
      <c r="AA10" s="35">
        <f t="shared" si="4"/>
        <v>247610163.23878643</v>
      </c>
      <c r="AB10" s="35">
        <f t="shared" si="4"/>
        <v>240705134.80261669</v>
      </c>
      <c r="AC10" s="35">
        <f t="shared" si="4"/>
        <v>233823724.74413109</v>
      </c>
      <c r="AD10" s="35">
        <f t="shared" si="4"/>
        <v>226966641.61466014</v>
      </c>
      <c r="AE10" s="35">
        <f t="shared" si="4"/>
        <v>220134615.22207433</v>
      </c>
      <c r="AF10" s="35">
        <f t="shared" si="4"/>
        <v>213328397.26848015</v>
      </c>
      <c r="AG10" s="35">
        <f t="shared" si="4"/>
        <v>206548762.00704738</v>
      </c>
      <c r="AH10" s="35">
        <f t="shared" si="4"/>
        <v>199796506.91854087</v>
      </c>
      <c r="AI10" s="35">
        <f t="shared" si="4"/>
        <v>193072453.40814835</v>
      </c>
      <c r="AJ10" s="35">
        <f t="shared" si="4"/>
        <v>186377447.52321333</v>
      </c>
      <c r="AK10" s="35" t="e">
        <f t="shared" si="4"/>
        <v>#REF!</v>
      </c>
      <c r="AL10" s="35" t="e">
        <f t="shared" si="4"/>
        <v>#REF!</v>
      </c>
      <c r="AM10" s="35" t="e">
        <f t="shared" si="4"/>
        <v>#REF!</v>
      </c>
      <c r="AN10" s="35" t="e">
        <f t="shared" si="4"/>
        <v>#REF!</v>
      </c>
      <c r="AO10" s="35" t="e">
        <f t="shared" si="4"/>
        <v>#REF!</v>
      </c>
      <c r="AP10" s="35" t="e">
        <f t="shared" si="4"/>
        <v>#REF!</v>
      </c>
      <c r="AQ10" s="35" t="e">
        <f t="shared" si="4"/>
        <v>#REF!</v>
      </c>
      <c r="AR10" s="35" t="e">
        <f t="shared" si="4"/>
        <v>#REF!</v>
      </c>
      <c r="AS10" s="35" t="e">
        <f t="shared" si="4"/>
        <v>#REF!</v>
      </c>
      <c r="AT10" s="35" t="e">
        <f t="shared" si="4"/>
        <v>#REF!</v>
      </c>
      <c r="AU10" s="35" t="e">
        <f t="shared" si="4"/>
        <v>#REF!</v>
      </c>
      <c r="AV10" s="35" t="e">
        <f t="shared" si="4"/>
        <v>#REF!</v>
      </c>
      <c r="AW10" s="35" t="e">
        <f t="shared" si="4"/>
        <v>#REF!</v>
      </c>
    </row>
    <row r="11" spans="3:133" x14ac:dyDescent="0.2">
      <c r="D11" s="36"/>
      <c r="E11" s="29" t="s">
        <v>45</v>
      </c>
      <c r="F11" s="35">
        <f>+F19</f>
        <v>10256410.256410256</v>
      </c>
      <c r="G11" s="35">
        <f t="shared" ref="G11:AW11" si="5">+G19</f>
        <v>10256410.256410256</v>
      </c>
      <c r="H11" s="35">
        <f t="shared" si="5"/>
        <v>10333333.333333332</v>
      </c>
      <c r="I11" s="35">
        <f t="shared" si="5"/>
        <v>10412564.102564102</v>
      </c>
      <c r="J11" s="35">
        <f t="shared" si="5"/>
        <v>10494171.794871794</v>
      </c>
      <c r="K11" s="35">
        <f t="shared" si="5"/>
        <v>10578227.717948718</v>
      </c>
      <c r="L11" s="35">
        <f t="shared" si="5"/>
        <v>10664805.318717949</v>
      </c>
      <c r="M11" s="35">
        <f t="shared" si="5"/>
        <v>10753980.247510256</v>
      </c>
      <c r="N11" s="35">
        <f t="shared" si="5"/>
        <v>10845830.424166333</v>
      </c>
      <c r="O11" s="35">
        <f t="shared" si="5"/>
        <v>10940436.106122091</v>
      </c>
      <c r="P11" s="35">
        <f t="shared" si="5"/>
        <v>11037879.958536524</v>
      </c>
      <c r="Q11" s="35">
        <f t="shared" si="5"/>
        <v>11138247.126523389</v>
      </c>
      <c r="R11" s="35">
        <f t="shared" si="5"/>
        <v>11241625.309549859</v>
      </c>
      <c r="S11" s="35">
        <f t="shared" si="5"/>
        <v>11348104.838067124</v>
      </c>
      <c r="T11" s="35">
        <f t="shared" si="5"/>
        <v>11457778.752439907</v>
      </c>
      <c r="U11" s="35">
        <f t="shared" si="5"/>
        <v>11570742.884243874</v>
      </c>
      <c r="V11" s="35">
        <f t="shared" si="5"/>
        <v>11687095.940001959</v>
      </c>
      <c r="W11" s="35">
        <f t="shared" si="5"/>
        <v>11806939.587432787</v>
      </c>
      <c r="X11" s="35">
        <f t="shared" si="5"/>
        <v>11930378.54428654</v>
      </c>
      <c r="Y11" s="35">
        <f t="shared" si="5"/>
        <v>12057520.669845905</v>
      </c>
      <c r="Z11" s="35">
        <f t="shared" si="5"/>
        <v>12188477.059172051</v>
      </c>
      <c r="AA11" s="35">
        <f t="shared" si="5"/>
        <v>12323362.140177982</v>
      </c>
      <c r="AB11" s="35">
        <f t="shared" si="5"/>
        <v>12462293.77361409</v>
      </c>
      <c r="AC11" s="35">
        <f t="shared" si="5"/>
        <v>12605393.356053282</v>
      </c>
      <c r="AD11" s="35">
        <f t="shared" si="5"/>
        <v>12752785.92596565</v>
      </c>
      <c r="AE11" s="35">
        <f t="shared" si="5"/>
        <v>12904600.272975389</v>
      </c>
      <c r="AF11" s="35">
        <f t="shared" si="5"/>
        <v>13060969.05039542</v>
      </c>
      <c r="AG11" s="35">
        <f t="shared" si="5"/>
        <v>13222028.891138053</v>
      </c>
      <c r="AH11" s="35">
        <f t="shared" si="5"/>
        <v>13387920.527102964</v>
      </c>
      <c r="AI11" s="35">
        <f t="shared" si="5"/>
        <v>13558788.912146822</v>
      </c>
      <c r="AJ11" s="35" t="e">
        <f t="shared" si="5"/>
        <v>#REF!</v>
      </c>
      <c r="AK11" s="35" t="e">
        <f t="shared" si="5"/>
        <v>#REF!</v>
      </c>
      <c r="AL11" s="35" t="e">
        <f t="shared" si="5"/>
        <v>#REF!</v>
      </c>
      <c r="AM11" s="35" t="e">
        <f t="shared" si="5"/>
        <v>#REF!</v>
      </c>
      <c r="AN11" s="35" t="e">
        <f t="shared" si="5"/>
        <v>#REF!</v>
      </c>
      <c r="AO11" s="35" t="e">
        <f t="shared" si="5"/>
        <v>#REF!</v>
      </c>
      <c r="AP11" s="35" t="e">
        <f t="shared" si="5"/>
        <v>#REF!</v>
      </c>
      <c r="AQ11" s="35" t="e">
        <f t="shared" si="5"/>
        <v>#REF!</v>
      </c>
      <c r="AR11" s="35" t="e">
        <f t="shared" si="5"/>
        <v>#REF!</v>
      </c>
      <c r="AS11" s="35" t="e">
        <f t="shared" si="5"/>
        <v>#REF!</v>
      </c>
      <c r="AT11" s="35" t="e">
        <f t="shared" si="5"/>
        <v>#REF!</v>
      </c>
      <c r="AU11" s="35" t="e">
        <f t="shared" si="5"/>
        <v>#REF!</v>
      </c>
      <c r="AV11" s="35" t="e">
        <f t="shared" si="5"/>
        <v>#REF!</v>
      </c>
      <c r="AW11" s="35" t="e">
        <f t="shared" si="5"/>
        <v>#REF!</v>
      </c>
    </row>
    <row r="12" spans="3:133" x14ac:dyDescent="0.2">
      <c r="D12" s="36"/>
      <c r="E12" s="29" t="s">
        <v>15</v>
      </c>
      <c r="F12" s="35">
        <f>+F7</f>
        <v>0</v>
      </c>
      <c r="G12" s="35">
        <f>+G7</f>
        <v>3000000</v>
      </c>
      <c r="H12" s="35">
        <f t="shared" ref="H12:AW12" si="6">+H7</f>
        <v>3090000</v>
      </c>
      <c r="I12" s="35">
        <f t="shared" si="6"/>
        <v>3182700</v>
      </c>
      <c r="J12" s="35">
        <f t="shared" si="6"/>
        <v>3278181</v>
      </c>
      <c r="K12" s="35">
        <f t="shared" si="6"/>
        <v>3376526.43</v>
      </c>
      <c r="L12" s="35">
        <f t="shared" si="6"/>
        <v>3477822.2229000004</v>
      </c>
      <c r="M12" s="35">
        <f t="shared" si="6"/>
        <v>3582156.8895870005</v>
      </c>
      <c r="N12" s="35">
        <f t="shared" si="6"/>
        <v>3689621.5962746106</v>
      </c>
      <c r="O12" s="35">
        <f t="shared" si="6"/>
        <v>3800310.2441628492</v>
      </c>
      <c r="P12" s="35">
        <f t="shared" si="6"/>
        <v>3914319.5514877345</v>
      </c>
      <c r="Q12" s="35">
        <f t="shared" si="6"/>
        <v>4031749.1380323665</v>
      </c>
      <c r="R12" s="35">
        <f t="shared" si="6"/>
        <v>4152701.6121733375</v>
      </c>
      <c r="S12" s="35">
        <f t="shared" si="6"/>
        <v>4277282.6605385374</v>
      </c>
      <c r="T12" s="35">
        <f t="shared" si="6"/>
        <v>4405601.1403546939</v>
      </c>
      <c r="U12" s="35">
        <f t="shared" si="6"/>
        <v>4537769.1745653348</v>
      </c>
      <c r="V12" s="35">
        <f t="shared" si="6"/>
        <v>4673902.2498022951</v>
      </c>
      <c r="W12" s="35">
        <f t="shared" si="6"/>
        <v>4814119.3172963643</v>
      </c>
      <c r="X12" s="35">
        <f t="shared" si="6"/>
        <v>4958542.8968152553</v>
      </c>
      <c r="Y12" s="35">
        <f t="shared" si="6"/>
        <v>5107299.1837197132</v>
      </c>
      <c r="Z12" s="35">
        <f t="shared" si="6"/>
        <v>5260518.1592313051</v>
      </c>
      <c r="AA12" s="35">
        <f t="shared" si="6"/>
        <v>5418333.704008244</v>
      </c>
      <c r="AB12" s="35">
        <f t="shared" si="6"/>
        <v>5580883.7151284916</v>
      </c>
      <c r="AC12" s="35">
        <f t="shared" si="6"/>
        <v>5748310.2265823465</v>
      </c>
      <c r="AD12" s="35">
        <f t="shared" si="6"/>
        <v>5920759.5333798174</v>
      </c>
      <c r="AE12" s="35">
        <f t="shared" si="6"/>
        <v>6098382.3193812119</v>
      </c>
      <c r="AF12" s="35">
        <f t="shared" si="6"/>
        <v>6281333.7889626483</v>
      </c>
      <c r="AG12" s="35">
        <f t="shared" si="6"/>
        <v>6469773.8026315281</v>
      </c>
      <c r="AH12" s="35">
        <f t="shared" si="6"/>
        <v>6663867.0167104742</v>
      </c>
      <c r="AI12" s="35">
        <f t="shared" si="6"/>
        <v>6863783.0272117881</v>
      </c>
      <c r="AJ12" s="35" t="e">
        <f t="shared" si="6"/>
        <v>#REF!</v>
      </c>
      <c r="AK12" s="35" t="e">
        <f t="shared" si="6"/>
        <v>#REF!</v>
      </c>
      <c r="AL12" s="35" t="e">
        <f t="shared" si="6"/>
        <v>#REF!</v>
      </c>
      <c r="AM12" s="35" t="e">
        <f t="shared" si="6"/>
        <v>#REF!</v>
      </c>
      <c r="AN12" s="35" t="e">
        <f t="shared" si="6"/>
        <v>#REF!</v>
      </c>
      <c r="AO12" s="35" t="e">
        <f t="shared" si="6"/>
        <v>#REF!</v>
      </c>
      <c r="AP12" s="35" t="e">
        <f t="shared" si="6"/>
        <v>#REF!</v>
      </c>
      <c r="AQ12" s="35" t="e">
        <f t="shared" si="6"/>
        <v>#REF!</v>
      </c>
      <c r="AR12" s="35" t="e">
        <f t="shared" si="6"/>
        <v>#REF!</v>
      </c>
      <c r="AS12" s="35" t="e">
        <f t="shared" si="6"/>
        <v>#REF!</v>
      </c>
      <c r="AT12" s="35" t="e">
        <f t="shared" si="6"/>
        <v>#REF!</v>
      </c>
      <c r="AU12" s="35" t="e">
        <f t="shared" si="6"/>
        <v>#REF!</v>
      </c>
      <c r="AV12" s="35" t="e">
        <f t="shared" si="6"/>
        <v>#REF!</v>
      </c>
      <c r="AW12" s="35" t="e">
        <f t="shared" si="6"/>
        <v>#REF!</v>
      </c>
    </row>
    <row r="13" spans="3:133" x14ac:dyDescent="0.2">
      <c r="D13" s="36"/>
      <c r="E13" s="29" t="s">
        <v>17</v>
      </c>
      <c r="F13" s="35">
        <f t="shared" ref="F13:AW13" si="7">+F12+F10-F11</f>
        <v>389743589.74358976</v>
      </c>
      <c r="G13" s="35">
        <f t="shared" si="7"/>
        <v>382487179.48717952</v>
      </c>
      <c r="H13" s="35">
        <f t="shared" si="7"/>
        <v>375243846.1538462</v>
      </c>
      <c r="I13" s="35">
        <f t="shared" si="7"/>
        <v>368013982.05128211</v>
      </c>
      <c r="J13" s="35">
        <f t="shared" si="7"/>
        <v>360797991.2564103</v>
      </c>
      <c r="K13" s="35">
        <f t="shared" si="7"/>
        <v>353596289.96846157</v>
      </c>
      <c r="L13" s="35">
        <f t="shared" si="7"/>
        <v>346409306.87264359</v>
      </c>
      <c r="M13" s="35">
        <f t="shared" si="7"/>
        <v>339237483.51472032</v>
      </c>
      <c r="N13" s="35">
        <f t="shared" si="7"/>
        <v>332081274.68682861</v>
      </c>
      <c r="O13" s="35">
        <f t="shared" si="7"/>
        <v>324941148.82486939</v>
      </c>
      <c r="P13" s="35">
        <f t="shared" si="7"/>
        <v>317817588.41782063</v>
      </c>
      <c r="Q13" s="35">
        <f t="shared" si="7"/>
        <v>310711090.42932963</v>
      </c>
      <c r="R13" s="35">
        <f t="shared" si="7"/>
        <v>303622166.73195308</v>
      </c>
      <c r="S13" s="35">
        <f t="shared" si="7"/>
        <v>296551344.55442452</v>
      </c>
      <c r="T13" s="35">
        <f t="shared" si="7"/>
        <v>289499166.9423393</v>
      </c>
      <c r="U13" s="35">
        <f t="shared" si="7"/>
        <v>282466193.23266077</v>
      </c>
      <c r="V13" s="35">
        <f t="shared" si="7"/>
        <v>275452999.5424611</v>
      </c>
      <c r="W13" s="35">
        <f t="shared" si="7"/>
        <v>268460179.27232468</v>
      </c>
      <c r="X13" s="35">
        <f t="shared" si="7"/>
        <v>261488343.62485337</v>
      </c>
      <c r="Y13" s="35">
        <f t="shared" si="7"/>
        <v>254538122.13872719</v>
      </c>
      <c r="Z13" s="35">
        <f t="shared" si="7"/>
        <v>247610163.23878643</v>
      </c>
      <c r="AA13" s="35">
        <f t="shared" si="7"/>
        <v>240705134.80261669</v>
      </c>
      <c r="AB13" s="35">
        <f t="shared" si="7"/>
        <v>233823724.74413109</v>
      </c>
      <c r="AC13" s="35">
        <f t="shared" si="7"/>
        <v>226966641.61466014</v>
      </c>
      <c r="AD13" s="35">
        <f t="shared" si="7"/>
        <v>220134615.22207433</v>
      </c>
      <c r="AE13" s="35">
        <f t="shared" si="7"/>
        <v>213328397.26848015</v>
      </c>
      <c r="AF13" s="35">
        <f t="shared" si="7"/>
        <v>206548762.00704738</v>
      </c>
      <c r="AG13" s="35">
        <f t="shared" si="7"/>
        <v>199796506.91854087</v>
      </c>
      <c r="AH13" s="35">
        <f t="shared" si="7"/>
        <v>193072453.40814835</v>
      </c>
      <c r="AI13" s="35">
        <f t="shared" si="7"/>
        <v>186377447.52321333</v>
      </c>
      <c r="AJ13" s="35" t="e">
        <f t="shared" si="7"/>
        <v>#REF!</v>
      </c>
      <c r="AK13" s="35" t="e">
        <f t="shared" si="7"/>
        <v>#REF!</v>
      </c>
      <c r="AL13" s="35" t="e">
        <f t="shared" si="7"/>
        <v>#REF!</v>
      </c>
      <c r="AM13" s="35" t="e">
        <f t="shared" si="7"/>
        <v>#REF!</v>
      </c>
      <c r="AN13" s="35" t="e">
        <f t="shared" si="7"/>
        <v>#REF!</v>
      </c>
      <c r="AO13" s="35" t="e">
        <f t="shared" si="7"/>
        <v>#REF!</v>
      </c>
      <c r="AP13" s="35" t="e">
        <f t="shared" si="7"/>
        <v>#REF!</v>
      </c>
      <c r="AQ13" s="35" t="e">
        <f t="shared" si="7"/>
        <v>#REF!</v>
      </c>
      <c r="AR13" s="35" t="e">
        <f t="shared" si="7"/>
        <v>#REF!</v>
      </c>
      <c r="AS13" s="35" t="e">
        <f t="shared" si="7"/>
        <v>#REF!</v>
      </c>
      <c r="AT13" s="35" t="e">
        <f t="shared" si="7"/>
        <v>#REF!</v>
      </c>
      <c r="AU13" s="35" t="e">
        <f t="shared" si="7"/>
        <v>#REF!</v>
      </c>
      <c r="AV13" s="35" t="e">
        <f t="shared" si="7"/>
        <v>#REF!</v>
      </c>
      <c r="AW13" s="35" t="e">
        <f t="shared" si="7"/>
        <v>#REF!</v>
      </c>
    </row>
    <row r="14" spans="3:133" x14ac:dyDescent="0.2">
      <c r="D14" s="36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</row>
    <row r="15" spans="3:133" x14ac:dyDescent="0.2">
      <c r="D15" s="39">
        <v>10000000</v>
      </c>
      <c r="E15" s="287" t="s">
        <v>201</v>
      </c>
      <c r="F15" s="288">
        <f t="shared" ref="F15:AI15" si="8">F10*$D$16</f>
        <v>10000000</v>
      </c>
      <c r="G15" s="288">
        <f t="shared" si="8"/>
        <v>9743589.743589744</v>
      </c>
      <c r="H15" s="288">
        <f t="shared" si="8"/>
        <v>9562179.4871794879</v>
      </c>
      <c r="I15" s="288">
        <f t="shared" si="8"/>
        <v>9381096.1538461559</v>
      </c>
      <c r="J15" s="288">
        <f t="shared" si="8"/>
        <v>9200349.5512820538</v>
      </c>
      <c r="K15" s="288">
        <f t="shared" si="8"/>
        <v>9019949.7814102583</v>
      </c>
      <c r="L15" s="288">
        <f t="shared" si="8"/>
        <v>8839907.2492115404</v>
      </c>
      <c r="M15" s="288">
        <f t="shared" si="8"/>
        <v>8660232.6718160901</v>
      </c>
      <c r="N15" s="288">
        <f t="shared" si="8"/>
        <v>8480937.0878680088</v>
      </c>
      <c r="O15" s="288">
        <f t="shared" si="8"/>
        <v>8302031.8671707157</v>
      </c>
      <c r="P15" s="288">
        <f t="shared" si="8"/>
        <v>8123528.7206217349</v>
      </c>
      <c r="Q15" s="288">
        <f t="shared" si="8"/>
        <v>7945439.7104455158</v>
      </c>
      <c r="R15" s="288">
        <f t="shared" si="8"/>
        <v>7767777.2607332412</v>
      </c>
      <c r="S15" s="288">
        <f t="shared" si="8"/>
        <v>7590554.1682988275</v>
      </c>
      <c r="T15" s="288">
        <f t="shared" si="8"/>
        <v>7413783.6138606137</v>
      </c>
      <c r="U15" s="288">
        <f t="shared" si="8"/>
        <v>7237479.1735584829</v>
      </c>
      <c r="V15" s="288">
        <f t="shared" si="8"/>
        <v>7061654.8308165194</v>
      </c>
      <c r="W15" s="288">
        <f t="shared" si="8"/>
        <v>6886324.9885615278</v>
      </c>
      <c r="X15" s="288">
        <f t="shared" si="8"/>
        <v>6711504.4818081176</v>
      </c>
      <c r="Y15" s="288">
        <f t="shared" si="8"/>
        <v>6537208.5906213345</v>
      </c>
      <c r="Z15" s="288">
        <f t="shared" si="8"/>
        <v>6363453.0534681799</v>
      </c>
      <c r="AA15" s="288">
        <f t="shared" si="8"/>
        <v>6190254.0809696615</v>
      </c>
      <c r="AB15" s="288">
        <f t="shared" si="8"/>
        <v>6017628.3700654171</v>
      </c>
      <c r="AC15" s="288">
        <f t="shared" si="8"/>
        <v>5845593.118603278</v>
      </c>
      <c r="AD15" s="288">
        <f t="shared" si="8"/>
        <v>5674166.0403665043</v>
      </c>
      <c r="AE15" s="288">
        <f t="shared" si="8"/>
        <v>5503365.3805518588</v>
      </c>
      <c r="AF15" s="288">
        <f t="shared" si="8"/>
        <v>5333209.9317120044</v>
      </c>
      <c r="AG15" s="288">
        <f t="shared" si="8"/>
        <v>5163719.0501761846</v>
      </c>
      <c r="AH15" s="288">
        <f t="shared" si="8"/>
        <v>4994912.6729635214</v>
      </c>
      <c r="AI15" s="288">
        <f t="shared" si="8"/>
        <v>4826811.3352037091</v>
      </c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89"/>
      <c r="DE15" s="289"/>
      <c r="DF15" s="289"/>
      <c r="DG15" s="289"/>
      <c r="DH15" s="289"/>
      <c r="DI15" s="289"/>
      <c r="DJ15" s="289"/>
      <c r="DK15" s="289"/>
      <c r="DL15" s="289"/>
      <c r="DM15" s="289"/>
      <c r="DN15" s="289"/>
      <c r="DO15" s="289"/>
      <c r="DP15" s="289"/>
      <c r="DQ15" s="289"/>
      <c r="DR15" s="289"/>
      <c r="DS15" s="289"/>
      <c r="DT15" s="289"/>
      <c r="DU15" s="289"/>
      <c r="DV15" s="289"/>
      <c r="DW15" s="289"/>
      <c r="DX15" s="289"/>
      <c r="DY15" s="289"/>
      <c r="DZ15" s="289"/>
      <c r="EA15" s="289"/>
      <c r="EB15" s="289"/>
      <c r="EC15" s="289"/>
    </row>
    <row r="16" spans="3:133" x14ac:dyDescent="0.2">
      <c r="D16" s="36">
        <f>D15/D3</f>
        <v>2.5000000000000001E-2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1:49" x14ac:dyDescent="0.2">
      <c r="D17" s="3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</row>
    <row r="18" spans="1:49" x14ac:dyDescent="0.2">
      <c r="D18" s="36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x14ac:dyDescent="0.2">
      <c r="D19" s="36"/>
      <c r="E19" s="29" t="s">
        <v>27</v>
      </c>
      <c r="F19" s="35">
        <f t="shared" ref="F19:AW19" si="9">SUMPRODUCT($B$22:$B$155,F$22:F$155)</f>
        <v>10256410.256410256</v>
      </c>
      <c r="G19" s="35">
        <f t="shared" si="9"/>
        <v>10256410.256410256</v>
      </c>
      <c r="H19" s="35">
        <f t="shared" si="9"/>
        <v>10333333.333333332</v>
      </c>
      <c r="I19" s="35">
        <f t="shared" si="9"/>
        <v>10412564.102564102</v>
      </c>
      <c r="J19" s="35">
        <f t="shared" si="9"/>
        <v>10494171.794871794</v>
      </c>
      <c r="K19" s="35">
        <f t="shared" si="9"/>
        <v>10578227.717948718</v>
      </c>
      <c r="L19" s="35">
        <f t="shared" si="9"/>
        <v>10664805.318717949</v>
      </c>
      <c r="M19" s="35">
        <f t="shared" si="9"/>
        <v>10753980.247510256</v>
      </c>
      <c r="N19" s="35">
        <f t="shared" si="9"/>
        <v>10845830.424166333</v>
      </c>
      <c r="O19" s="35">
        <f t="shared" si="9"/>
        <v>10940436.106122091</v>
      </c>
      <c r="P19" s="35">
        <f t="shared" si="9"/>
        <v>11037879.958536524</v>
      </c>
      <c r="Q19" s="35">
        <f t="shared" si="9"/>
        <v>11138247.126523389</v>
      </c>
      <c r="R19" s="35">
        <f t="shared" si="9"/>
        <v>11241625.309549859</v>
      </c>
      <c r="S19" s="35">
        <f t="shared" si="9"/>
        <v>11348104.838067124</v>
      </c>
      <c r="T19" s="35">
        <f t="shared" si="9"/>
        <v>11457778.752439907</v>
      </c>
      <c r="U19" s="35">
        <f t="shared" si="9"/>
        <v>11570742.884243874</v>
      </c>
      <c r="V19" s="35">
        <f t="shared" si="9"/>
        <v>11687095.940001959</v>
      </c>
      <c r="W19" s="35">
        <f t="shared" si="9"/>
        <v>11806939.587432787</v>
      </c>
      <c r="X19" s="35">
        <f t="shared" si="9"/>
        <v>11930378.54428654</v>
      </c>
      <c r="Y19" s="35">
        <f t="shared" si="9"/>
        <v>12057520.669845905</v>
      </c>
      <c r="Z19" s="35">
        <f t="shared" si="9"/>
        <v>12188477.059172051</v>
      </c>
      <c r="AA19" s="35">
        <f t="shared" si="9"/>
        <v>12323362.140177982</v>
      </c>
      <c r="AB19" s="35">
        <f t="shared" si="9"/>
        <v>12462293.77361409</v>
      </c>
      <c r="AC19" s="35">
        <f t="shared" si="9"/>
        <v>12605393.356053282</v>
      </c>
      <c r="AD19" s="35">
        <f t="shared" si="9"/>
        <v>12752785.92596565</v>
      </c>
      <c r="AE19" s="35">
        <f t="shared" si="9"/>
        <v>12904600.272975389</v>
      </c>
      <c r="AF19" s="35">
        <f t="shared" si="9"/>
        <v>13060969.05039542</v>
      </c>
      <c r="AG19" s="35">
        <f t="shared" si="9"/>
        <v>13222028.891138053</v>
      </c>
      <c r="AH19" s="35">
        <f t="shared" si="9"/>
        <v>13387920.527102964</v>
      </c>
      <c r="AI19" s="35">
        <f t="shared" si="9"/>
        <v>13558788.912146822</v>
      </c>
      <c r="AJ19" s="35" t="e">
        <f t="shared" si="9"/>
        <v>#REF!</v>
      </c>
      <c r="AK19" s="35" t="e">
        <f t="shared" si="9"/>
        <v>#REF!</v>
      </c>
      <c r="AL19" s="35" t="e">
        <f t="shared" si="9"/>
        <v>#REF!</v>
      </c>
      <c r="AM19" s="35" t="e">
        <f t="shared" si="9"/>
        <v>#REF!</v>
      </c>
      <c r="AN19" s="35" t="e">
        <f t="shared" si="9"/>
        <v>#REF!</v>
      </c>
      <c r="AO19" s="35" t="e">
        <f t="shared" si="9"/>
        <v>#REF!</v>
      </c>
      <c r="AP19" s="35" t="e">
        <f t="shared" si="9"/>
        <v>#REF!</v>
      </c>
      <c r="AQ19" s="35" t="e">
        <f t="shared" si="9"/>
        <v>#REF!</v>
      </c>
      <c r="AR19" s="35" t="e">
        <f t="shared" si="9"/>
        <v>#REF!</v>
      </c>
      <c r="AS19" s="35" t="e">
        <f t="shared" si="9"/>
        <v>#REF!</v>
      </c>
      <c r="AT19" s="35" t="e">
        <f t="shared" si="9"/>
        <v>#REF!</v>
      </c>
      <c r="AU19" s="35" t="e">
        <f t="shared" si="9"/>
        <v>#REF!</v>
      </c>
      <c r="AV19" s="35" t="e">
        <f t="shared" si="9"/>
        <v>#REF!</v>
      </c>
      <c r="AW19" s="35" t="e">
        <f t="shared" si="9"/>
        <v>#REF!</v>
      </c>
    </row>
    <row r="20" spans="1:49" x14ac:dyDescent="0.2">
      <c r="D20" s="36"/>
      <c r="E20" s="29" t="s">
        <v>17</v>
      </c>
      <c r="F20" s="35">
        <f>SUMPRODUCT($A$22:$A$155,F$22:F$155)</f>
        <v>389743589.74358976</v>
      </c>
      <c r="G20" s="35">
        <f t="shared" ref="G20:AW20" si="10">SUMPRODUCT($A$22:$A$155,G22:G155)</f>
        <v>382487179.48717952</v>
      </c>
      <c r="H20" s="35">
        <f t="shared" si="10"/>
        <v>375243846.1538462</v>
      </c>
      <c r="I20" s="35">
        <f t="shared" si="10"/>
        <v>368013982.05128211</v>
      </c>
      <c r="J20" s="35">
        <f t="shared" si="10"/>
        <v>360797991.2564103</v>
      </c>
      <c r="K20" s="35">
        <f t="shared" si="10"/>
        <v>353596289.96846169</v>
      </c>
      <c r="L20" s="35">
        <f t="shared" si="10"/>
        <v>346409306.87264371</v>
      </c>
      <c r="M20" s="35">
        <f t="shared" si="10"/>
        <v>339237483.51472044</v>
      </c>
      <c r="N20" s="35">
        <f t="shared" si="10"/>
        <v>332081274.68682867</v>
      </c>
      <c r="O20" s="35">
        <f t="shared" si="10"/>
        <v>324941148.82486951</v>
      </c>
      <c r="P20" s="35">
        <f t="shared" si="10"/>
        <v>317817588.41782075</v>
      </c>
      <c r="Q20" s="35">
        <f t="shared" si="10"/>
        <v>310711090.42932981</v>
      </c>
      <c r="R20" s="35">
        <f t="shared" si="10"/>
        <v>303622166.7319532</v>
      </c>
      <c r="S20" s="35">
        <f t="shared" si="10"/>
        <v>296551344.5544247</v>
      </c>
      <c r="T20" s="35">
        <f t="shared" si="10"/>
        <v>289499166.94233948</v>
      </c>
      <c r="U20" s="35">
        <f t="shared" si="10"/>
        <v>282466193.23266089</v>
      </c>
      <c r="V20" s="35">
        <f t="shared" si="10"/>
        <v>275452999.54246134</v>
      </c>
      <c r="W20" s="35">
        <f t="shared" si="10"/>
        <v>268460179.27232486</v>
      </c>
      <c r="X20" s="35">
        <f t="shared" si="10"/>
        <v>261488343.62485361</v>
      </c>
      <c r="Y20" s="35">
        <f t="shared" si="10"/>
        <v>254538122.13872743</v>
      </c>
      <c r="Z20" s="35">
        <f t="shared" si="10"/>
        <v>247610163.23878667</v>
      </c>
      <c r="AA20" s="35">
        <f t="shared" si="10"/>
        <v>240705134.80261698</v>
      </c>
      <c r="AB20" s="35">
        <f t="shared" si="10"/>
        <v>233823724.74413139</v>
      </c>
      <c r="AC20" s="35">
        <f t="shared" si="10"/>
        <v>226966641.61466047</v>
      </c>
      <c r="AD20" s="35">
        <f t="shared" si="10"/>
        <v>220134615.2220746</v>
      </c>
      <c r="AE20" s="35">
        <f t="shared" si="10"/>
        <v>213328397.26848042</v>
      </c>
      <c r="AF20" s="35">
        <f t="shared" si="10"/>
        <v>206548762.00704771</v>
      </c>
      <c r="AG20" s="35">
        <f t="shared" si="10"/>
        <v>199796506.91854116</v>
      </c>
      <c r="AH20" s="35">
        <f t="shared" si="10"/>
        <v>193072453.40814868</v>
      </c>
      <c r="AI20" s="35">
        <f t="shared" si="10"/>
        <v>186377447.52321362</v>
      </c>
      <c r="AJ20" s="35" t="e">
        <f t="shared" si="10"/>
        <v>#REF!</v>
      </c>
      <c r="AK20" s="35" t="e">
        <f t="shared" si="10"/>
        <v>#REF!</v>
      </c>
      <c r="AL20" s="35" t="e">
        <f t="shared" si="10"/>
        <v>#REF!</v>
      </c>
      <c r="AM20" s="35" t="e">
        <f t="shared" si="10"/>
        <v>#REF!</v>
      </c>
      <c r="AN20" s="35" t="e">
        <f t="shared" si="10"/>
        <v>#REF!</v>
      </c>
      <c r="AO20" s="35" t="e">
        <f t="shared" si="10"/>
        <v>#REF!</v>
      </c>
      <c r="AP20" s="35" t="e">
        <f t="shared" si="10"/>
        <v>#REF!</v>
      </c>
      <c r="AQ20" s="35" t="e">
        <f t="shared" si="10"/>
        <v>#REF!</v>
      </c>
      <c r="AR20" s="35" t="e">
        <f t="shared" si="10"/>
        <v>#REF!</v>
      </c>
      <c r="AS20" s="35" t="e">
        <f t="shared" si="10"/>
        <v>#REF!</v>
      </c>
      <c r="AT20" s="35" t="e">
        <f t="shared" si="10"/>
        <v>#REF!</v>
      </c>
      <c r="AU20" s="35" t="e">
        <f t="shared" si="10"/>
        <v>#REF!</v>
      </c>
      <c r="AV20" s="35" t="e">
        <f t="shared" si="10"/>
        <v>#REF!</v>
      </c>
      <c r="AW20" s="35" t="e">
        <f t="shared" si="10"/>
        <v>#REF!</v>
      </c>
    </row>
    <row r="21" spans="1:49" x14ac:dyDescent="0.2">
      <c r="A21" s="27" t="s">
        <v>22</v>
      </c>
      <c r="B21" s="27" t="s">
        <v>28</v>
      </c>
      <c r="D21" s="36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</row>
    <row r="22" spans="1:49" x14ac:dyDescent="0.2">
      <c r="B22" s="27">
        <v>1</v>
      </c>
      <c r="C22" s="28">
        <f>$D$6</f>
        <v>39</v>
      </c>
      <c r="D22" s="27">
        <v>0</v>
      </c>
      <c r="E22" s="29" t="s">
        <v>27</v>
      </c>
      <c r="F22" s="35">
        <f t="shared" ref="F22:AR22" si="11">+$D$23/$C$22</f>
        <v>10256410.256410256</v>
      </c>
      <c r="G22" s="35">
        <f t="shared" si="11"/>
        <v>10256410.256410256</v>
      </c>
      <c r="H22" s="35">
        <f t="shared" si="11"/>
        <v>10256410.256410256</v>
      </c>
      <c r="I22" s="35">
        <f t="shared" si="11"/>
        <v>10256410.256410256</v>
      </c>
      <c r="J22" s="35">
        <f t="shared" si="11"/>
        <v>10256410.256410256</v>
      </c>
      <c r="K22" s="35">
        <f t="shared" si="11"/>
        <v>10256410.256410256</v>
      </c>
      <c r="L22" s="35">
        <f t="shared" si="11"/>
        <v>10256410.256410256</v>
      </c>
      <c r="M22" s="35">
        <f t="shared" si="11"/>
        <v>10256410.256410256</v>
      </c>
      <c r="N22" s="35">
        <f t="shared" si="11"/>
        <v>10256410.256410256</v>
      </c>
      <c r="O22" s="35">
        <f t="shared" si="11"/>
        <v>10256410.256410256</v>
      </c>
      <c r="P22" s="35">
        <f t="shared" si="11"/>
        <v>10256410.256410256</v>
      </c>
      <c r="Q22" s="35">
        <f t="shared" si="11"/>
        <v>10256410.256410256</v>
      </c>
      <c r="R22" s="35">
        <f t="shared" si="11"/>
        <v>10256410.256410256</v>
      </c>
      <c r="S22" s="35">
        <f t="shared" si="11"/>
        <v>10256410.256410256</v>
      </c>
      <c r="T22" s="35">
        <f t="shared" si="11"/>
        <v>10256410.256410256</v>
      </c>
      <c r="U22" s="35">
        <f t="shared" si="11"/>
        <v>10256410.256410256</v>
      </c>
      <c r="V22" s="35">
        <f t="shared" si="11"/>
        <v>10256410.256410256</v>
      </c>
      <c r="W22" s="35">
        <f t="shared" si="11"/>
        <v>10256410.256410256</v>
      </c>
      <c r="X22" s="35">
        <f t="shared" si="11"/>
        <v>10256410.256410256</v>
      </c>
      <c r="Y22" s="35">
        <f t="shared" si="11"/>
        <v>10256410.256410256</v>
      </c>
      <c r="Z22" s="35">
        <f t="shared" si="11"/>
        <v>10256410.256410256</v>
      </c>
      <c r="AA22" s="35">
        <f t="shared" si="11"/>
        <v>10256410.256410256</v>
      </c>
      <c r="AB22" s="35">
        <f t="shared" si="11"/>
        <v>10256410.256410256</v>
      </c>
      <c r="AC22" s="35">
        <f t="shared" si="11"/>
        <v>10256410.256410256</v>
      </c>
      <c r="AD22" s="35">
        <f t="shared" si="11"/>
        <v>10256410.256410256</v>
      </c>
      <c r="AE22" s="35">
        <f t="shared" si="11"/>
        <v>10256410.256410256</v>
      </c>
      <c r="AF22" s="35">
        <f t="shared" si="11"/>
        <v>10256410.256410256</v>
      </c>
      <c r="AG22" s="35">
        <f t="shared" si="11"/>
        <v>10256410.256410256</v>
      </c>
      <c r="AH22" s="35">
        <f t="shared" si="11"/>
        <v>10256410.256410256</v>
      </c>
      <c r="AI22" s="35">
        <f t="shared" si="11"/>
        <v>10256410.256410256</v>
      </c>
      <c r="AJ22" s="35">
        <f t="shared" si="11"/>
        <v>10256410.256410256</v>
      </c>
      <c r="AK22" s="35">
        <f t="shared" si="11"/>
        <v>10256410.256410256</v>
      </c>
      <c r="AL22" s="35">
        <f t="shared" si="11"/>
        <v>10256410.256410256</v>
      </c>
      <c r="AM22" s="35">
        <f t="shared" si="11"/>
        <v>10256410.256410256</v>
      </c>
      <c r="AN22" s="35">
        <f t="shared" si="11"/>
        <v>10256410.256410256</v>
      </c>
      <c r="AO22" s="35">
        <f t="shared" si="11"/>
        <v>10256410.256410256</v>
      </c>
      <c r="AP22" s="35">
        <f t="shared" si="11"/>
        <v>10256410.256410256</v>
      </c>
      <c r="AQ22" s="35">
        <f t="shared" si="11"/>
        <v>10256410.256410256</v>
      </c>
      <c r="AR22" s="35">
        <f t="shared" si="11"/>
        <v>10256410.256410256</v>
      </c>
    </row>
    <row r="23" spans="1:49" x14ac:dyDescent="0.2">
      <c r="A23" s="27">
        <v>1</v>
      </c>
      <c r="D23" s="39">
        <f>F6</f>
        <v>400000000</v>
      </c>
      <c r="E23" s="29" t="s">
        <v>20</v>
      </c>
      <c r="F23" s="40">
        <f>+D23-F22</f>
        <v>389743589.74358976</v>
      </c>
      <c r="G23" s="40">
        <f t="shared" ref="G23:AR23" si="12">+F23-G22</f>
        <v>379487179.48717952</v>
      </c>
      <c r="H23" s="40">
        <f t="shared" si="12"/>
        <v>369230769.23076928</v>
      </c>
      <c r="I23" s="40">
        <f t="shared" si="12"/>
        <v>358974358.97435904</v>
      </c>
      <c r="J23" s="40">
        <f t="shared" si="12"/>
        <v>348717948.71794879</v>
      </c>
      <c r="K23" s="40">
        <f t="shared" si="12"/>
        <v>338461538.46153855</v>
      </c>
      <c r="L23" s="40">
        <f t="shared" si="12"/>
        <v>328205128.20512831</v>
      </c>
      <c r="M23" s="40">
        <f t="shared" si="12"/>
        <v>317948717.94871807</v>
      </c>
      <c r="N23" s="40">
        <f t="shared" si="12"/>
        <v>307692307.69230783</v>
      </c>
      <c r="O23" s="40">
        <f t="shared" si="12"/>
        <v>297435897.43589759</v>
      </c>
      <c r="P23" s="40">
        <f t="shared" si="12"/>
        <v>287179487.17948735</v>
      </c>
      <c r="Q23" s="40">
        <f t="shared" si="12"/>
        <v>276923076.92307711</v>
      </c>
      <c r="R23" s="40">
        <f t="shared" si="12"/>
        <v>266666666.66666687</v>
      </c>
      <c r="S23" s="40">
        <f t="shared" si="12"/>
        <v>256410256.41025662</v>
      </c>
      <c r="T23" s="40">
        <f t="shared" si="12"/>
        <v>246153846.15384638</v>
      </c>
      <c r="U23" s="40">
        <f t="shared" si="12"/>
        <v>235897435.89743614</v>
      </c>
      <c r="V23" s="40">
        <f t="shared" si="12"/>
        <v>225641025.6410259</v>
      </c>
      <c r="W23" s="40">
        <f t="shared" si="12"/>
        <v>215384615.38461566</v>
      </c>
      <c r="X23" s="40">
        <f t="shared" si="12"/>
        <v>205128205.12820542</v>
      </c>
      <c r="Y23" s="40">
        <f t="shared" si="12"/>
        <v>194871794.87179518</v>
      </c>
      <c r="Z23" s="40">
        <f t="shared" si="12"/>
        <v>184615384.61538494</v>
      </c>
      <c r="AA23" s="40">
        <f t="shared" si="12"/>
        <v>174358974.3589747</v>
      </c>
      <c r="AB23" s="40">
        <f t="shared" si="12"/>
        <v>164102564.10256445</v>
      </c>
      <c r="AC23" s="40">
        <f t="shared" si="12"/>
        <v>153846153.84615421</v>
      </c>
      <c r="AD23" s="40">
        <f t="shared" si="12"/>
        <v>143589743.58974397</v>
      </c>
      <c r="AE23" s="40">
        <f t="shared" si="12"/>
        <v>133333333.33333372</v>
      </c>
      <c r="AF23" s="40">
        <f t="shared" si="12"/>
        <v>123076923.07692346</v>
      </c>
      <c r="AG23" s="40">
        <f t="shared" si="12"/>
        <v>112820512.8205132</v>
      </c>
      <c r="AH23" s="40">
        <f t="shared" si="12"/>
        <v>102564102.56410295</v>
      </c>
      <c r="AI23" s="40">
        <f t="shared" si="12"/>
        <v>92307692.307692692</v>
      </c>
      <c r="AJ23" s="40">
        <f t="shared" si="12"/>
        <v>82051282.051282436</v>
      </c>
      <c r="AK23" s="40">
        <f t="shared" si="12"/>
        <v>71794871.79487218</v>
      </c>
      <c r="AL23" s="40">
        <f t="shared" si="12"/>
        <v>61538461.538461924</v>
      </c>
      <c r="AM23" s="40">
        <f t="shared" si="12"/>
        <v>51282051.282051668</v>
      </c>
      <c r="AN23" s="40">
        <f t="shared" si="12"/>
        <v>41025641.025641412</v>
      </c>
      <c r="AO23" s="40">
        <f t="shared" si="12"/>
        <v>30769230.769231156</v>
      </c>
      <c r="AP23" s="40">
        <f t="shared" si="12"/>
        <v>20512820.512820899</v>
      </c>
      <c r="AQ23" s="40">
        <f t="shared" si="12"/>
        <v>10256410.256410643</v>
      </c>
      <c r="AR23" s="40">
        <f t="shared" si="12"/>
        <v>3.8743019104003906E-7</v>
      </c>
    </row>
    <row r="24" spans="1:49" ht="8.1" customHeight="1" x14ac:dyDescent="0.2"/>
    <row r="25" spans="1:49" x14ac:dyDescent="0.2">
      <c r="B25" s="27">
        <f>+B22</f>
        <v>1</v>
      </c>
      <c r="C25" s="28">
        <f>+$D$7</f>
        <v>39</v>
      </c>
      <c r="D25" s="27">
        <f>+D22+1</f>
        <v>1</v>
      </c>
      <c r="E25" s="29" t="s">
        <v>27</v>
      </c>
      <c r="F25" s="29">
        <v>0</v>
      </c>
      <c r="G25" s="35">
        <f>+$D26/$C25</f>
        <v>0</v>
      </c>
      <c r="H25" s="35">
        <f t="shared" ref="H25:AS25" si="13">+$D26/$C25</f>
        <v>0</v>
      </c>
      <c r="I25" s="35">
        <f t="shared" si="13"/>
        <v>0</v>
      </c>
      <c r="J25" s="35">
        <f t="shared" si="13"/>
        <v>0</v>
      </c>
      <c r="K25" s="35">
        <f t="shared" si="13"/>
        <v>0</v>
      </c>
      <c r="L25" s="35">
        <f t="shared" si="13"/>
        <v>0</v>
      </c>
      <c r="M25" s="35">
        <f t="shared" si="13"/>
        <v>0</v>
      </c>
      <c r="N25" s="35">
        <f t="shared" si="13"/>
        <v>0</v>
      </c>
      <c r="O25" s="35">
        <f t="shared" si="13"/>
        <v>0</v>
      </c>
      <c r="P25" s="35">
        <f t="shared" si="13"/>
        <v>0</v>
      </c>
      <c r="Q25" s="35">
        <f t="shared" si="13"/>
        <v>0</v>
      </c>
      <c r="R25" s="35">
        <f t="shared" si="13"/>
        <v>0</v>
      </c>
      <c r="S25" s="35">
        <f t="shared" si="13"/>
        <v>0</v>
      </c>
      <c r="T25" s="35">
        <f t="shared" si="13"/>
        <v>0</v>
      </c>
      <c r="U25" s="35">
        <f t="shared" si="13"/>
        <v>0</v>
      </c>
      <c r="V25" s="35">
        <f t="shared" si="13"/>
        <v>0</v>
      </c>
      <c r="W25" s="35">
        <f t="shared" si="13"/>
        <v>0</v>
      </c>
      <c r="X25" s="35">
        <f t="shared" si="13"/>
        <v>0</v>
      </c>
      <c r="Y25" s="35">
        <f t="shared" si="13"/>
        <v>0</v>
      </c>
      <c r="Z25" s="35">
        <f t="shared" si="13"/>
        <v>0</v>
      </c>
      <c r="AA25" s="35">
        <f t="shared" si="13"/>
        <v>0</v>
      </c>
      <c r="AB25" s="35">
        <f t="shared" si="13"/>
        <v>0</v>
      </c>
      <c r="AC25" s="35">
        <f t="shared" si="13"/>
        <v>0</v>
      </c>
      <c r="AD25" s="35">
        <f t="shared" si="13"/>
        <v>0</v>
      </c>
      <c r="AE25" s="35">
        <f t="shared" si="13"/>
        <v>0</v>
      </c>
      <c r="AF25" s="35">
        <f t="shared" si="13"/>
        <v>0</v>
      </c>
      <c r="AG25" s="35">
        <f t="shared" si="13"/>
        <v>0</v>
      </c>
      <c r="AH25" s="35">
        <f t="shared" si="13"/>
        <v>0</v>
      </c>
      <c r="AI25" s="35">
        <f t="shared" si="13"/>
        <v>0</v>
      </c>
      <c r="AJ25" s="35">
        <f t="shared" si="13"/>
        <v>0</v>
      </c>
      <c r="AK25" s="35">
        <f t="shared" si="13"/>
        <v>0</v>
      </c>
      <c r="AL25" s="35">
        <f t="shared" si="13"/>
        <v>0</v>
      </c>
      <c r="AM25" s="35">
        <f t="shared" si="13"/>
        <v>0</v>
      </c>
      <c r="AN25" s="35">
        <f t="shared" si="13"/>
        <v>0</v>
      </c>
      <c r="AO25" s="35">
        <f t="shared" si="13"/>
        <v>0</v>
      </c>
      <c r="AP25" s="35">
        <f t="shared" si="13"/>
        <v>0</v>
      </c>
      <c r="AQ25" s="35">
        <f t="shared" si="13"/>
        <v>0</v>
      </c>
      <c r="AR25" s="35">
        <f t="shared" si="13"/>
        <v>0</v>
      </c>
      <c r="AS25" s="35">
        <f t="shared" si="13"/>
        <v>0</v>
      </c>
      <c r="AT25" s="35"/>
    </row>
    <row r="26" spans="1:49" x14ac:dyDescent="0.2">
      <c r="A26" s="27">
        <f>+A23</f>
        <v>1</v>
      </c>
      <c r="D26" s="39">
        <f>HLOOKUP(D25,$F$3:$AW$7,5)</f>
        <v>0</v>
      </c>
      <c r="E26" s="29" t="s">
        <v>20</v>
      </c>
      <c r="F26" s="40">
        <f>+$D26</f>
        <v>0</v>
      </c>
      <c r="G26" s="40">
        <f>+F26-G25</f>
        <v>0</v>
      </c>
      <c r="H26" s="40">
        <f t="shared" ref="H26:AS26" si="14">+G26-H25</f>
        <v>0</v>
      </c>
      <c r="I26" s="40">
        <f t="shared" si="14"/>
        <v>0</v>
      </c>
      <c r="J26" s="40">
        <f t="shared" si="14"/>
        <v>0</v>
      </c>
      <c r="K26" s="40">
        <f t="shared" si="14"/>
        <v>0</v>
      </c>
      <c r="L26" s="40">
        <f t="shared" si="14"/>
        <v>0</v>
      </c>
      <c r="M26" s="40">
        <f t="shared" si="14"/>
        <v>0</v>
      </c>
      <c r="N26" s="40">
        <f t="shared" si="14"/>
        <v>0</v>
      </c>
      <c r="O26" s="40">
        <f t="shared" si="14"/>
        <v>0</v>
      </c>
      <c r="P26" s="40">
        <f t="shared" si="14"/>
        <v>0</v>
      </c>
      <c r="Q26" s="40">
        <f t="shared" si="14"/>
        <v>0</v>
      </c>
      <c r="R26" s="40">
        <f t="shared" si="14"/>
        <v>0</v>
      </c>
      <c r="S26" s="40">
        <f t="shared" si="14"/>
        <v>0</v>
      </c>
      <c r="T26" s="40">
        <f t="shared" si="14"/>
        <v>0</v>
      </c>
      <c r="U26" s="40">
        <f t="shared" si="14"/>
        <v>0</v>
      </c>
      <c r="V26" s="40">
        <f t="shared" si="14"/>
        <v>0</v>
      </c>
      <c r="W26" s="40">
        <f t="shared" si="14"/>
        <v>0</v>
      </c>
      <c r="X26" s="40">
        <f t="shared" si="14"/>
        <v>0</v>
      </c>
      <c r="Y26" s="40">
        <f t="shared" si="14"/>
        <v>0</v>
      </c>
      <c r="Z26" s="40">
        <f t="shared" si="14"/>
        <v>0</v>
      </c>
      <c r="AA26" s="40">
        <f t="shared" si="14"/>
        <v>0</v>
      </c>
      <c r="AB26" s="40">
        <f t="shared" si="14"/>
        <v>0</v>
      </c>
      <c r="AC26" s="40">
        <f t="shared" si="14"/>
        <v>0</v>
      </c>
      <c r="AD26" s="40">
        <f t="shared" si="14"/>
        <v>0</v>
      </c>
      <c r="AE26" s="40">
        <f t="shared" si="14"/>
        <v>0</v>
      </c>
      <c r="AF26" s="40">
        <f t="shared" si="14"/>
        <v>0</v>
      </c>
      <c r="AG26" s="40">
        <f t="shared" si="14"/>
        <v>0</v>
      </c>
      <c r="AH26" s="40">
        <f t="shared" si="14"/>
        <v>0</v>
      </c>
      <c r="AI26" s="40">
        <f t="shared" si="14"/>
        <v>0</v>
      </c>
      <c r="AJ26" s="40">
        <f t="shared" si="14"/>
        <v>0</v>
      </c>
      <c r="AK26" s="40">
        <f t="shared" si="14"/>
        <v>0</v>
      </c>
      <c r="AL26" s="40">
        <f t="shared" si="14"/>
        <v>0</v>
      </c>
      <c r="AM26" s="40">
        <f t="shared" si="14"/>
        <v>0</v>
      </c>
      <c r="AN26" s="40">
        <f t="shared" si="14"/>
        <v>0</v>
      </c>
      <c r="AO26" s="40">
        <f t="shared" si="14"/>
        <v>0</v>
      </c>
      <c r="AP26" s="40">
        <f t="shared" si="14"/>
        <v>0</v>
      </c>
      <c r="AQ26" s="40">
        <f t="shared" si="14"/>
        <v>0</v>
      </c>
      <c r="AR26" s="40">
        <f t="shared" si="14"/>
        <v>0</v>
      </c>
      <c r="AS26" s="40">
        <f t="shared" si="14"/>
        <v>0</v>
      </c>
      <c r="AT26" s="40"/>
    </row>
    <row r="27" spans="1:49" ht="8.1" customHeight="1" x14ac:dyDescent="0.2"/>
    <row r="28" spans="1:49" x14ac:dyDescent="0.2">
      <c r="B28" s="27">
        <f>+B25</f>
        <v>1</v>
      </c>
      <c r="C28" s="28">
        <f>+$D$7</f>
        <v>39</v>
      </c>
      <c r="D28" s="27">
        <f>+D25+1</f>
        <v>2</v>
      </c>
      <c r="E28" s="29" t="s">
        <v>27</v>
      </c>
      <c r="G28" s="29">
        <v>0</v>
      </c>
      <c r="H28" s="35">
        <f>+$D29/$C28</f>
        <v>76923.076923076922</v>
      </c>
      <c r="I28" s="35">
        <f t="shared" ref="I28:AT28" si="15">+$D29/$C28</f>
        <v>76923.076923076922</v>
      </c>
      <c r="J28" s="35">
        <f t="shared" si="15"/>
        <v>76923.076923076922</v>
      </c>
      <c r="K28" s="35">
        <f t="shared" si="15"/>
        <v>76923.076923076922</v>
      </c>
      <c r="L28" s="35">
        <f t="shared" si="15"/>
        <v>76923.076923076922</v>
      </c>
      <c r="M28" s="35">
        <f t="shared" si="15"/>
        <v>76923.076923076922</v>
      </c>
      <c r="N28" s="35">
        <f t="shared" si="15"/>
        <v>76923.076923076922</v>
      </c>
      <c r="O28" s="35">
        <f t="shared" si="15"/>
        <v>76923.076923076922</v>
      </c>
      <c r="P28" s="35">
        <f t="shared" si="15"/>
        <v>76923.076923076922</v>
      </c>
      <c r="Q28" s="35">
        <f t="shared" si="15"/>
        <v>76923.076923076922</v>
      </c>
      <c r="R28" s="35">
        <f t="shared" si="15"/>
        <v>76923.076923076922</v>
      </c>
      <c r="S28" s="35">
        <f t="shared" si="15"/>
        <v>76923.076923076922</v>
      </c>
      <c r="T28" s="35">
        <f t="shared" si="15"/>
        <v>76923.076923076922</v>
      </c>
      <c r="U28" s="35">
        <f t="shared" si="15"/>
        <v>76923.076923076922</v>
      </c>
      <c r="V28" s="35">
        <f t="shared" si="15"/>
        <v>76923.076923076922</v>
      </c>
      <c r="W28" s="35">
        <f t="shared" si="15"/>
        <v>76923.076923076922</v>
      </c>
      <c r="X28" s="35">
        <f t="shared" si="15"/>
        <v>76923.076923076922</v>
      </c>
      <c r="Y28" s="35">
        <f t="shared" si="15"/>
        <v>76923.076923076922</v>
      </c>
      <c r="Z28" s="35">
        <f t="shared" si="15"/>
        <v>76923.076923076922</v>
      </c>
      <c r="AA28" s="35">
        <f t="shared" si="15"/>
        <v>76923.076923076922</v>
      </c>
      <c r="AB28" s="35">
        <f t="shared" si="15"/>
        <v>76923.076923076922</v>
      </c>
      <c r="AC28" s="35">
        <f t="shared" si="15"/>
        <v>76923.076923076922</v>
      </c>
      <c r="AD28" s="35">
        <f t="shared" si="15"/>
        <v>76923.076923076922</v>
      </c>
      <c r="AE28" s="35">
        <f t="shared" si="15"/>
        <v>76923.076923076922</v>
      </c>
      <c r="AF28" s="35">
        <f t="shared" si="15"/>
        <v>76923.076923076922</v>
      </c>
      <c r="AG28" s="35">
        <f t="shared" si="15"/>
        <v>76923.076923076922</v>
      </c>
      <c r="AH28" s="35">
        <f t="shared" si="15"/>
        <v>76923.076923076922</v>
      </c>
      <c r="AI28" s="35">
        <f t="shared" si="15"/>
        <v>76923.076923076922</v>
      </c>
      <c r="AJ28" s="35">
        <f t="shared" si="15"/>
        <v>76923.076923076922</v>
      </c>
      <c r="AK28" s="35">
        <f t="shared" si="15"/>
        <v>76923.076923076922</v>
      </c>
      <c r="AL28" s="35">
        <f t="shared" si="15"/>
        <v>76923.076923076922</v>
      </c>
      <c r="AM28" s="35">
        <f t="shared" si="15"/>
        <v>76923.076923076922</v>
      </c>
      <c r="AN28" s="35">
        <f t="shared" si="15"/>
        <v>76923.076923076922</v>
      </c>
      <c r="AO28" s="35">
        <f t="shared" si="15"/>
        <v>76923.076923076922</v>
      </c>
      <c r="AP28" s="35">
        <f t="shared" si="15"/>
        <v>76923.076923076922</v>
      </c>
      <c r="AQ28" s="35">
        <f t="shared" si="15"/>
        <v>76923.076923076922</v>
      </c>
      <c r="AR28" s="35">
        <f t="shared" si="15"/>
        <v>76923.076923076922</v>
      </c>
      <c r="AS28" s="35">
        <f t="shared" si="15"/>
        <v>76923.076923076922</v>
      </c>
      <c r="AT28" s="35">
        <f t="shared" si="15"/>
        <v>76923.076923076922</v>
      </c>
      <c r="AU28" s="35"/>
    </row>
    <row r="29" spans="1:49" x14ac:dyDescent="0.2">
      <c r="A29" s="27">
        <f>+A26</f>
        <v>1</v>
      </c>
      <c r="D29" s="39">
        <f>HLOOKUP(D28,$F$3:$AW$7,5)</f>
        <v>3000000</v>
      </c>
      <c r="E29" s="29" t="s">
        <v>20</v>
      </c>
      <c r="G29" s="40">
        <f>+$D29</f>
        <v>3000000</v>
      </c>
      <c r="H29" s="40">
        <f>+G29-H28</f>
        <v>2923076.923076923</v>
      </c>
      <c r="I29" s="40">
        <f t="shared" ref="I29:AT29" si="16">+H29-I28</f>
        <v>2846153.846153846</v>
      </c>
      <c r="J29" s="40">
        <f t="shared" si="16"/>
        <v>2769230.769230769</v>
      </c>
      <c r="K29" s="40">
        <f t="shared" si="16"/>
        <v>2692307.692307692</v>
      </c>
      <c r="L29" s="40">
        <f t="shared" si="16"/>
        <v>2615384.615384615</v>
      </c>
      <c r="M29" s="40">
        <f t="shared" si="16"/>
        <v>2538461.538461538</v>
      </c>
      <c r="N29" s="40">
        <f t="shared" si="16"/>
        <v>2461538.461538461</v>
      </c>
      <c r="O29" s="40">
        <f t="shared" si="16"/>
        <v>2384615.384615384</v>
      </c>
      <c r="P29" s="40">
        <f t="shared" si="16"/>
        <v>2307692.307692307</v>
      </c>
      <c r="Q29" s="40">
        <f t="shared" si="16"/>
        <v>2230769.2307692301</v>
      </c>
      <c r="R29" s="40">
        <f t="shared" si="16"/>
        <v>2153846.1538461531</v>
      </c>
      <c r="S29" s="40">
        <f t="shared" si="16"/>
        <v>2076923.0769230761</v>
      </c>
      <c r="T29" s="40">
        <f t="shared" si="16"/>
        <v>1999999.9999999991</v>
      </c>
      <c r="U29" s="40">
        <f t="shared" si="16"/>
        <v>1923076.9230769221</v>
      </c>
      <c r="V29" s="40">
        <f t="shared" si="16"/>
        <v>1846153.8461538451</v>
      </c>
      <c r="W29" s="40">
        <f t="shared" si="16"/>
        <v>1769230.7692307681</v>
      </c>
      <c r="X29" s="40">
        <f t="shared" si="16"/>
        <v>1692307.6923076911</v>
      </c>
      <c r="Y29" s="40">
        <f t="shared" si="16"/>
        <v>1615384.6153846141</v>
      </c>
      <c r="Z29" s="40">
        <f t="shared" si="16"/>
        <v>1538461.5384615371</v>
      </c>
      <c r="AA29" s="40">
        <f t="shared" si="16"/>
        <v>1461538.4615384601</v>
      </c>
      <c r="AB29" s="40">
        <f t="shared" si="16"/>
        <v>1384615.3846153831</v>
      </c>
      <c r="AC29" s="40">
        <f t="shared" si="16"/>
        <v>1307692.3076923061</v>
      </c>
      <c r="AD29" s="40">
        <f t="shared" si="16"/>
        <v>1230769.2307692291</v>
      </c>
      <c r="AE29" s="40">
        <f t="shared" si="16"/>
        <v>1153846.1538461521</v>
      </c>
      <c r="AF29" s="40">
        <f t="shared" si="16"/>
        <v>1076923.0769230751</v>
      </c>
      <c r="AG29" s="40">
        <f t="shared" si="16"/>
        <v>999999.99999999825</v>
      </c>
      <c r="AH29" s="40">
        <f t="shared" si="16"/>
        <v>923076.92307692138</v>
      </c>
      <c r="AI29" s="40">
        <f t="shared" si="16"/>
        <v>846153.8461538445</v>
      </c>
      <c r="AJ29" s="40">
        <f t="shared" si="16"/>
        <v>769230.76923076762</v>
      </c>
      <c r="AK29" s="40">
        <f t="shared" si="16"/>
        <v>692307.69230769074</v>
      </c>
      <c r="AL29" s="40">
        <f t="shared" si="16"/>
        <v>615384.61538461386</v>
      </c>
      <c r="AM29" s="40">
        <f t="shared" si="16"/>
        <v>538461.53846153698</v>
      </c>
      <c r="AN29" s="40">
        <f t="shared" si="16"/>
        <v>461538.46153846005</v>
      </c>
      <c r="AO29" s="40">
        <f t="shared" si="16"/>
        <v>384615.38461538311</v>
      </c>
      <c r="AP29" s="40">
        <f t="shared" si="16"/>
        <v>307692.30769230617</v>
      </c>
      <c r="AQ29" s="40">
        <f t="shared" si="16"/>
        <v>230769.23076922924</v>
      </c>
      <c r="AR29" s="40">
        <f t="shared" si="16"/>
        <v>153846.1538461523</v>
      </c>
      <c r="AS29" s="40">
        <f t="shared" si="16"/>
        <v>76923.076923075379</v>
      </c>
      <c r="AT29" s="40">
        <f t="shared" si="16"/>
        <v>-1.5425030142068863E-9</v>
      </c>
      <c r="AU29" s="40"/>
    </row>
    <row r="30" spans="1:49" ht="8.1" customHeight="1" x14ac:dyDescent="0.2">
      <c r="D30" s="39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</row>
    <row r="31" spans="1:49" x14ac:dyDescent="0.2">
      <c r="B31" s="27">
        <f>+B28</f>
        <v>1</v>
      </c>
      <c r="C31" s="28">
        <f>+$D$7</f>
        <v>39</v>
      </c>
      <c r="D31" s="27">
        <f>+D28+1</f>
        <v>3</v>
      </c>
      <c r="E31" s="29" t="s">
        <v>27</v>
      </c>
      <c r="H31" s="29">
        <v>0</v>
      </c>
      <c r="I31" s="35">
        <f>+$D32/$C31</f>
        <v>79230.769230769234</v>
      </c>
      <c r="J31" s="35">
        <f t="shared" ref="J31:AU31" si="17">+$D32/$C31</f>
        <v>79230.769230769234</v>
      </c>
      <c r="K31" s="35">
        <f t="shared" si="17"/>
        <v>79230.769230769234</v>
      </c>
      <c r="L31" s="35">
        <f t="shared" si="17"/>
        <v>79230.769230769234</v>
      </c>
      <c r="M31" s="35">
        <f t="shared" si="17"/>
        <v>79230.769230769234</v>
      </c>
      <c r="N31" s="35">
        <f t="shared" si="17"/>
        <v>79230.769230769234</v>
      </c>
      <c r="O31" s="35">
        <f t="shared" si="17"/>
        <v>79230.769230769234</v>
      </c>
      <c r="P31" s="35">
        <f t="shared" si="17"/>
        <v>79230.769230769234</v>
      </c>
      <c r="Q31" s="35">
        <f t="shared" si="17"/>
        <v>79230.769230769234</v>
      </c>
      <c r="R31" s="35">
        <f t="shared" si="17"/>
        <v>79230.769230769234</v>
      </c>
      <c r="S31" s="35">
        <f t="shared" si="17"/>
        <v>79230.769230769234</v>
      </c>
      <c r="T31" s="35">
        <f t="shared" si="17"/>
        <v>79230.769230769234</v>
      </c>
      <c r="U31" s="35">
        <f t="shared" si="17"/>
        <v>79230.769230769234</v>
      </c>
      <c r="V31" s="35">
        <f t="shared" si="17"/>
        <v>79230.769230769234</v>
      </c>
      <c r="W31" s="35">
        <f t="shared" si="17"/>
        <v>79230.769230769234</v>
      </c>
      <c r="X31" s="35">
        <f t="shared" si="17"/>
        <v>79230.769230769234</v>
      </c>
      <c r="Y31" s="35">
        <f t="shared" si="17"/>
        <v>79230.769230769234</v>
      </c>
      <c r="Z31" s="35">
        <f t="shared" si="17"/>
        <v>79230.769230769234</v>
      </c>
      <c r="AA31" s="35">
        <f t="shared" si="17"/>
        <v>79230.769230769234</v>
      </c>
      <c r="AB31" s="35">
        <f t="shared" si="17"/>
        <v>79230.769230769234</v>
      </c>
      <c r="AC31" s="35">
        <f t="shared" si="17"/>
        <v>79230.769230769234</v>
      </c>
      <c r="AD31" s="35">
        <f t="shared" si="17"/>
        <v>79230.769230769234</v>
      </c>
      <c r="AE31" s="35">
        <f t="shared" si="17"/>
        <v>79230.769230769234</v>
      </c>
      <c r="AF31" s="35">
        <f t="shared" si="17"/>
        <v>79230.769230769234</v>
      </c>
      <c r="AG31" s="35">
        <f t="shared" si="17"/>
        <v>79230.769230769234</v>
      </c>
      <c r="AH31" s="35">
        <f t="shared" si="17"/>
        <v>79230.769230769234</v>
      </c>
      <c r="AI31" s="35">
        <f t="shared" si="17"/>
        <v>79230.769230769234</v>
      </c>
      <c r="AJ31" s="35">
        <f t="shared" si="17"/>
        <v>79230.769230769234</v>
      </c>
      <c r="AK31" s="35">
        <f t="shared" si="17"/>
        <v>79230.769230769234</v>
      </c>
      <c r="AL31" s="35">
        <f t="shared" si="17"/>
        <v>79230.769230769234</v>
      </c>
      <c r="AM31" s="35">
        <f t="shared" si="17"/>
        <v>79230.769230769234</v>
      </c>
      <c r="AN31" s="35">
        <f t="shared" si="17"/>
        <v>79230.769230769234</v>
      </c>
      <c r="AO31" s="35">
        <f t="shared" si="17"/>
        <v>79230.769230769234</v>
      </c>
      <c r="AP31" s="35">
        <f t="shared" si="17"/>
        <v>79230.769230769234</v>
      </c>
      <c r="AQ31" s="35">
        <f t="shared" si="17"/>
        <v>79230.769230769234</v>
      </c>
      <c r="AR31" s="35">
        <f t="shared" si="17"/>
        <v>79230.769230769234</v>
      </c>
      <c r="AS31" s="35">
        <f t="shared" si="17"/>
        <v>79230.769230769234</v>
      </c>
      <c r="AT31" s="35">
        <f t="shared" si="17"/>
        <v>79230.769230769234</v>
      </c>
      <c r="AU31" s="35">
        <f t="shared" si="17"/>
        <v>79230.769230769234</v>
      </c>
      <c r="AV31" s="35"/>
    </row>
    <row r="32" spans="1:49" x14ac:dyDescent="0.2">
      <c r="A32" s="27">
        <f>+A29</f>
        <v>1</v>
      </c>
      <c r="D32" s="39">
        <f>HLOOKUP(D31,$F$3:$AW$7,5)</f>
        <v>3090000</v>
      </c>
      <c r="E32" s="29" t="s">
        <v>20</v>
      </c>
      <c r="H32" s="40">
        <f>+$D32</f>
        <v>3090000</v>
      </c>
      <c r="I32" s="40">
        <f>+H32-I31</f>
        <v>3010769.230769231</v>
      </c>
      <c r="J32" s="40">
        <f t="shared" ref="J32:AU32" si="18">+I32-J31</f>
        <v>2931538.461538462</v>
      </c>
      <c r="K32" s="40">
        <f t="shared" si="18"/>
        <v>2852307.692307693</v>
      </c>
      <c r="L32" s="40">
        <f t="shared" si="18"/>
        <v>2773076.9230769239</v>
      </c>
      <c r="M32" s="40">
        <f t="shared" si="18"/>
        <v>2693846.1538461549</v>
      </c>
      <c r="N32" s="40">
        <f t="shared" si="18"/>
        <v>2614615.3846153859</v>
      </c>
      <c r="O32" s="40">
        <f t="shared" si="18"/>
        <v>2535384.6153846169</v>
      </c>
      <c r="P32" s="40">
        <f t="shared" si="18"/>
        <v>2456153.8461538479</v>
      </c>
      <c r="Q32" s="40">
        <f t="shared" si="18"/>
        <v>2376923.0769230789</v>
      </c>
      <c r="R32" s="40">
        <f t="shared" si="18"/>
        <v>2297692.3076923098</v>
      </c>
      <c r="S32" s="40">
        <f t="shared" si="18"/>
        <v>2218461.5384615408</v>
      </c>
      <c r="T32" s="40">
        <f t="shared" si="18"/>
        <v>2139230.7692307718</v>
      </c>
      <c r="U32" s="40">
        <f t="shared" si="18"/>
        <v>2060000.0000000026</v>
      </c>
      <c r="V32" s="40">
        <f t="shared" si="18"/>
        <v>1980769.2307692333</v>
      </c>
      <c r="W32" s="40">
        <f t="shared" si="18"/>
        <v>1901538.4615384641</v>
      </c>
      <c r="X32" s="40">
        <f t="shared" si="18"/>
        <v>1822307.6923076948</v>
      </c>
      <c r="Y32" s="40">
        <f t="shared" si="18"/>
        <v>1743076.9230769256</v>
      </c>
      <c r="Z32" s="40">
        <f t="shared" si="18"/>
        <v>1663846.1538461563</v>
      </c>
      <c r="AA32" s="40">
        <f t="shared" si="18"/>
        <v>1584615.3846153871</v>
      </c>
      <c r="AB32" s="40">
        <f t="shared" si="18"/>
        <v>1505384.6153846178</v>
      </c>
      <c r="AC32" s="40">
        <f t="shared" si="18"/>
        <v>1426153.8461538486</v>
      </c>
      <c r="AD32" s="40">
        <f t="shared" si="18"/>
        <v>1346923.0769230793</v>
      </c>
      <c r="AE32" s="40">
        <f t="shared" si="18"/>
        <v>1267692.3076923101</v>
      </c>
      <c r="AF32" s="40">
        <f t="shared" si="18"/>
        <v>1188461.5384615408</v>
      </c>
      <c r="AG32" s="40">
        <f t="shared" si="18"/>
        <v>1109230.7692307716</v>
      </c>
      <c r="AH32" s="40">
        <f t="shared" si="18"/>
        <v>1030000.0000000023</v>
      </c>
      <c r="AI32" s="40">
        <f t="shared" si="18"/>
        <v>950769.23076923308</v>
      </c>
      <c r="AJ32" s="40">
        <f t="shared" si="18"/>
        <v>871538.46153846383</v>
      </c>
      <c r="AK32" s="40">
        <f t="shared" si="18"/>
        <v>792307.69230769458</v>
      </c>
      <c r="AL32" s="40">
        <f t="shared" si="18"/>
        <v>713076.92307692533</v>
      </c>
      <c r="AM32" s="40">
        <f t="shared" si="18"/>
        <v>633846.15384615608</v>
      </c>
      <c r="AN32" s="40">
        <f t="shared" si="18"/>
        <v>554615.38461538684</v>
      </c>
      <c r="AO32" s="40">
        <f t="shared" si="18"/>
        <v>475384.61538461759</v>
      </c>
      <c r="AP32" s="40">
        <f t="shared" si="18"/>
        <v>396153.84615384834</v>
      </c>
      <c r="AQ32" s="40">
        <f t="shared" si="18"/>
        <v>316923.07692307909</v>
      </c>
      <c r="AR32" s="40">
        <f t="shared" si="18"/>
        <v>237692.30769230984</v>
      </c>
      <c r="AS32" s="40">
        <f t="shared" si="18"/>
        <v>158461.53846154059</v>
      </c>
      <c r="AT32" s="40">
        <f t="shared" si="18"/>
        <v>79230.769230771359</v>
      </c>
      <c r="AU32" s="40">
        <f t="shared" si="18"/>
        <v>2.1245796233415604E-9</v>
      </c>
      <c r="AV32" s="40"/>
    </row>
    <row r="33" spans="1:49" ht="8.1" customHeight="1" x14ac:dyDescent="0.2">
      <c r="D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</row>
    <row r="34" spans="1:49" x14ac:dyDescent="0.2">
      <c r="B34" s="27">
        <f>+B31</f>
        <v>1</v>
      </c>
      <c r="C34" s="28">
        <f>+$D$7</f>
        <v>39</v>
      </c>
      <c r="D34" s="27">
        <f>+D31+1</f>
        <v>4</v>
      </c>
      <c r="E34" s="29" t="s">
        <v>27</v>
      </c>
      <c r="I34" s="29">
        <v>0</v>
      </c>
      <c r="J34" s="35">
        <f>+$D35/$C34</f>
        <v>81607.692307692312</v>
      </c>
      <c r="K34" s="35">
        <f t="shared" ref="K34:AV34" si="19">+$D35/$C34</f>
        <v>81607.692307692312</v>
      </c>
      <c r="L34" s="35">
        <f t="shared" si="19"/>
        <v>81607.692307692312</v>
      </c>
      <c r="M34" s="35">
        <f t="shared" si="19"/>
        <v>81607.692307692312</v>
      </c>
      <c r="N34" s="35">
        <f t="shared" si="19"/>
        <v>81607.692307692312</v>
      </c>
      <c r="O34" s="35">
        <f t="shared" si="19"/>
        <v>81607.692307692312</v>
      </c>
      <c r="P34" s="35">
        <f t="shared" si="19"/>
        <v>81607.692307692312</v>
      </c>
      <c r="Q34" s="35">
        <f t="shared" si="19"/>
        <v>81607.692307692312</v>
      </c>
      <c r="R34" s="35">
        <f t="shared" si="19"/>
        <v>81607.692307692312</v>
      </c>
      <c r="S34" s="35">
        <f t="shared" si="19"/>
        <v>81607.692307692312</v>
      </c>
      <c r="T34" s="35">
        <f t="shared" si="19"/>
        <v>81607.692307692312</v>
      </c>
      <c r="U34" s="35">
        <f t="shared" si="19"/>
        <v>81607.692307692312</v>
      </c>
      <c r="V34" s="35">
        <f t="shared" si="19"/>
        <v>81607.692307692312</v>
      </c>
      <c r="W34" s="35">
        <f t="shared" si="19"/>
        <v>81607.692307692312</v>
      </c>
      <c r="X34" s="35">
        <f t="shared" si="19"/>
        <v>81607.692307692312</v>
      </c>
      <c r="Y34" s="35">
        <f t="shared" si="19"/>
        <v>81607.692307692312</v>
      </c>
      <c r="Z34" s="35">
        <f t="shared" si="19"/>
        <v>81607.692307692312</v>
      </c>
      <c r="AA34" s="35">
        <f t="shared" si="19"/>
        <v>81607.692307692312</v>
      </c>
      <c r="AB34" s="35">
        <f t="shared" si="19"/>
        <v>81607.692307692312</v>
      </c>
      <c r="AC34" s="35">
        <f t="shared" si="19"/>
        <v>81607.692307692312</v>
      </c>
      <c r="AD34" s="35">
        <f t="shared" si="19"/>
        <v>81607.692307692312</v>
      </c>
      <c r="AE34" s="35">
        <f t="shared" si="19"/>
        <v>81607.692307692312</v>
      </c>
      <c r="AF34" s="35">
        <f t="shared" si="19"/>
        <v>81607.692307692312</v>
      </c>
      <c r="AG34" s="35">
        <f t="shared" si="19"/>
        <v>81607.692307692312</v>
      </c>
      <c r="AH34" s="35">
        <f t="shared" si="19"/>
        <v>81607.692307692312</v>
      </c>
      <c r="AI34" s="35">
        <f t="shared" si="19"/>
        <v>81607.692307692312</v>
      </c>
      <c r="AJ34" s="35">
        <f t="shared" si="19"/>
        <v>81607.692307692312</v>
      </c>
      <c r="AK34" s="35">
        <f t="shared" si="19"/>
        <v>81607.692307692312</v>
      </c>
      <c r="AL34" s="35">
        <f t="shared" si="19"/>
        <v>81607.692307692312</v>
      </c>
      <c r="AM34" s="35">
        <f t="shared" si="19"/>
        <v>81607.692307692312</v>
      </c>
      <c r="AN34" s="35">
        <f t="shared" si="19"/>
        <v>81607.692307692312</v>
      </c>
      <c r="AO34" s="35">
        <f t="shared" si="19"/>
        <v>81607.692307692312</v>
      </c>
      <c r="AP34" s="35">
        <f t="shared" si="19"/>
        <v>81607.692307692312</v>
      </c>
      <c r="AQ34" s="35">
        <f t="shared" si="19"/>
        <v>81607.692307692312</v>
      </c>
      <c r="AR34" s="35">
        <f t="shared" si="19"/>
        <v>81607.692307692312</v>
      </c>
      <c r="AS34" s="35">
        <f t="shared" si="19"/>
        <v>81607.692307692312</v>
      </c>
      <c r="AT34" s="35">
        <f t="shared" si="19"/>
        <v>81607.692307692312</v>
      </c>
      <c r="AU34" s="35">
        <f t="shared" si="19"/>
        <v>81607.692307692312</v>
      </c>
      <c r="AV34" s="35">
        <f t="shared" si="19"/>
        <v>81607.692307692312</v>
      </c>
      <c r="AW34" s="35"/>
    </row>
    <row r="35" spans="1:49" x14ac:dyDescent="0.2">
      <c r="A35" s="27">
        <f>+A32</f>
        <v>1</v>
      </c>
      <c r="D35" s="39">
        <f>HLOOKUP(D34,$F$3:$AW$7,5)</f>
        <v>3182700</v>
      </c>
      <c r="E35" s="29" t="s">
        <v>20</v>
      </c>
      <c r="H35" s="40"/>
      <c r="I35" s="40">
        <f>+$D35</f>
        <v>3182700</v>
      </c>
      <c r="J35" s="40">
        <f>+I35-J34</f>
        <v>3101092.3076923075</v>
      </c>
      <c r="K35" s="40">
        <f t="shared" ref="K35:AV35" si="20">+J35-K34</f>
        <v>3019484.615384615</v>
      </c>
      <c r="L35" s="40">
        <f t="shared" si="20"/>
        <v>2937876.9230769225</v>
      </c>
      <c r="M35" s="40">
        <f t="shared" si="20"/>
        <v>2856269.2307692301</v>
      </c>
      <c r="N35" s="40">
        <f t="shared" si="20"/>
        <v>2774661.5384615376</v>
      </c>
      <c r="O35" s="40">
        <f t="shared" si="20"/>
        <v>2693053.8461538451</v>
      </c>
      <c r="P35" s="40">
        <f t="shared" si="20"/>
        <v>2611446.1538461526</v>
      </c>
      <c r="Q35" s="40">
        <f t="shared" si="20"/>
        <v>2529838.4615384601</v>
      </c>
      <c r="R35" s="40">
        <f t="shared" si="20"/>
        <v>2448230.7692307676</v>
      </c>
      <c r="S35" s="40">
        <f t="shared" si="20"/>
        <v>2366623.0769230751</v>
      </c>
      <c r="T35" s="40">
        <f t="shared" si="20"/>
        <v>2285015.3846153826</v>
      </c>
      <c r="U35" s="40">
        <f t="shared" si="20"/>
        <v>2203407.6923076902</v>
      </c>
      <c r="V35" s="40">
        <f t="shared" si="20"/>
        <v>2121799.9999999977</v>
      </c>
      <c r="W35" s="40">
        <f t="shared" si="20"/>
        <v>2040192.3076923054</v>
      </c>
      <c r="X35" s="40">
        <f t="shared" si="20"/>
        <v>1958584.6153846132</v>
      </c>
      <c r="Y35" s="40">
        <f t="shared" si="20"/>
        <v>1876976.9230769209</v>
      </c>
      <c r="Z35" s="40">
        <f t="shared" si="20"/>
        <v>1795369.2307692287</v>
      </c>
      <c r="AA35" s="40">
        <f t="shared" si="20"/>
        <v>1713761.5384615364</v>
      </c>
      <c r="AB35" s="40">
        <f t="shared" si="20"/>
        <v>1632153.8461538441</v>
      </c>
      <c r="AC35" s="40">
        <f t="shared" si="20"/>
        <v>1550546.1538461519</v>
      </c>
      <c r="AD35" s="40">
        <f t="shared" si="20"/>
        <v>1468938.4615384596</v>
      </c>
      <c r="AE35" s="40">
        <f t="shared" si="20"/>
        <v>1387330.7692307674</v>
      </c>
      <c r="AF35" s="40">
        <f t="shared" si="20"/>
        <v>1305723.0769230751</v>
      </c>
      <c r="AG35" s="40">
        <f t="shared" si="20"/>
        <v>1224115.3846153829</v>
      </c>
      <c r="AH35" s="40">
        <f t="shared" si="20"/>
        <v>1142507.6923076906</v>
      </c>
      <c r="AI35" s="40">
        <f t="shared" si="20"/>
        <v>1060899.9999999984</v>
      </c>
      <c r="AJ35" s="40">
        <f t="shared" si="20"/>
        <v>979292.30769230612</v>
      </c>
      <c r="AK35" s="40">
        <f t="shared" si="20"/>
        <v>897684.61538461386</v>
      </c>
      <c r="AL35" s="40">
        <f t="shared" si="20"/>
        <v>816076.92307692161</v>
      </c>
      <c r="AM35" s="40">
        <f t="shared" si="20"/>
        <v>734469.23076922935</v>
      </c>
      <c r="AN35" s="40">
        <f t="shared" si="20"/>
        <v>652861.5384615371</v>
      </c>
      <c r="AO35" s="40">
        <f t="shared" si="20"/>
        <v>571253.84615384485</v>
      </c>
      <c r="AP35" s="40">
        <f t="shared" si="20"/>
        <v>489646.15384615253</v>
      </c>
      <c r="AQ35" s="40">
        <f t="shared" si="20"/>
        <v>408038.46153846022</v>
      </c>
      <c r="AR35" s="40">
        <f t="shared" si="20"/>
        <v>326430.76923076791</v>
      </c>
      <c r="AS35" s="40">
        <f t="shared" si="20"/>
        <v>244823.0769230756</v>
      </c>
      <c r="AT35" s="40">
        <f t="shared" si="20"/>
        <v>163215.38461538329</v>
      </c>
      <c r="AU35" s="40">
        <f t="shared" si="20"/>
        <v>81607.692307690973</v>
      </c>
      <c r="AV35" s="40">
        <f t="shared" si="20"/>
        <v>-1.3387762010097504E-9</v>
      </c>
      <c r="AW35" s="40"/>
    </row>
    <row r="36" spans="1:49" ht="8.1" customHeight="1" x14ac:dyDescent="0.2">
      <c r="D36" s="39"/>
      <c r="H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</row>
    <row r="37" spans="1:49" x14ac:dyDescent="0.2">
      <c r="B37" s="27">
        <f>+B34</f>
        <v>1</v>
      </c>
      <c r="C37" s="28">
        <f>+$D$7</f>
        <v>39</v>
      </c>
      <c r="D37" s="27">
        <f>+D34+1</f>
        <v>5</v>
      </c>
      <c r="E37" s="29" t="s">
        <v>27</v>
      </c>
      <c r="J37" s="29">
        <v>0</v>
      </c>
      <c r="K37" s="35">
        <f>+$D38/$C37</f>
        <v>84055.923076923078</v>
      </c>
      <c r="L37" s="35">
        <f t="shared" ref="L37:AW37" si="21">+$D38/$C37</f>
        <v>84055.923076923078</v>
      </c>
      <c r="M37" s="35">
        <f t="shared" si="21"/>
        <v>84055.923076923078</v>
      </c>
      <c r="N37" s="35">
        <f t="shared" si="21"/>
        <v>84055.923076923078</v>
      </c>
      <c r="O37" s="35">
        <f t="shared" si="21"/>
        <v>84055.923076923078</v>
      </c>
      <c r="P37" s="35">
        <f t="shared" si="21"/>
        <v>84055.923076923078</v>
      </c>
      <c r="Q37" s="35">
        <f t="shared" si="21"/>
        <v>84055.923076923078</v>
      </c>
      <c r="R37" s="35">
        <f t="shared" si="21"/>
        <v>84055.923076923078</v>
      </c>
      <c r="S37" s="35">
        <f t="shared" si="21"/>
        <v>84055.923076923078</v>
      </c>
      <c r="T37" s="35">
        <f t="shared" si="21"/>
        <v>84055.923076923078</v>
      </c>
      <c r="U37" s="35">
        <f t="shared" si="21"/>
        <v>84055.923076923078</v>
      </c>
      <c r="V37" s="35">
        <f t="shared" si="21"/>
        <v>84055.923076923078</v>
      </c>
      <c r="W37" s="35">
        <f t="shared" si="21"/>
        <v>84055.923076923078</v>
      </c>
      <c r="X37" s="35">
        <f t="shared" si="21"/>
        <v>84055.923076923078</v>
      </c>
      <c r="Y37" s="35">
        <f t="shared" si="21"/>
        <v>84055.923076923078</v>
      </c>
      <c r="Z37" s="35">
        <f t="shared" si="21"/>
        <v>84055.923076923078</v>
      </c>
      <c r="AA37" s="35">
        <f t="shared" si="21"/>
        <v>84055.923076923078</v>
      </c>
      <c r="AB37" s="35">
        <f t="shared" si="21"/>
        <v>84055.923076923078</v>
      </c>
      <c r="AC37" s="35">
        <f t="shared" si="21"/>
        <v>84055.923076923078</v>
      </c>
      <c r="AD37" s="35">
        <f t="shared" si="21"/>
        <v>84055.923076923078</v>
      </c>
      <c r="AE37" s="35">
        <f t="shared" si="21"/>
        <v>84055.923076923078</v>
      </c>
      <c r="AF37" s="35">
        <f t="shared" si="21"/>
        <v>84055.923076923078</v>
      </c>
      <c r="AG37" s="35">
        <f t="shared" si="21"/>
        <v>84055.923076923078</v>
      </c>
      <c r="AH37" s="35">
        <f t="shared" si="21"/>
        <v>84055.923076923078</v>
      </c>
      <c r="AI37" s="35">
        <f t="shared" si="21"/>
        <v>84055.923076923078</v>
      </c>
      <c r="AJ37" s="35">
        <f t="shared" si="21"/>
        <v>84055.923076923078</v>
      </c>
      <c r="AK37" s="35">
        <f t="shared" si="21"/>
        <v>84055.923076923078</v>
      </c>
      <c r="AL37" s="35">
        <f t="shared" si="21"/>
        <v>84055.923076923078</v>
      </c>
      <c r="AM37" s="35">
        <f t="shared" si="21"/>
        <v>84055.923076923078</v>
      </c>
      <c r="AN37" s="35">
        <f t="shared" si="21"/>
        <v>84055.923076923078</v>
      </c>
      <c r="AO37" s="35">
        <f t="shared" si="21"/>
        <v>84055.923076923078</v>
      </c>
      <c r="AP37" s="35">
        <f t="shared" si="21"/>
        <v>84055.923076923078</v>
      </c>
      <c r="AQ37" s="35">
        <f t="shared" si="21"/>
        <v>84055.923076923078</v>
      </c>
      <c r="AR37" s="35">
        <f t="shared" si="21"/>
        <v>84055.923076923078</v>
      </c>
      <c r="AS37" s="35">
        <f t="shared" si="21"/>
        <v>84055.923076923078</v>
      </c>
      <c r="AT37" s="35">
        <f t="shared" si="21"/>
        <v>84055.923076923078</v>
      </c>
      <c r="AU37" s="35">
        <f t="shared" si="21"/>
        <v>84055.923076923078</v>
      </c>
      <c r="AV37" s="35">
        <f t="shared" si="21"/>
        <v>84055.923076923078</v>
      </c>
      <c r="AW37" s="35">
        <f t="shared" si="21"/>
        <v>84055.923076923078</v>
      </c>
    </row>
    <row r="38" spans="1:49" x14ac:dyDescent="0.2">
      <c r="A38" s="27">
        <f>+A35</f>
        <v>1</v>
      </c>
      <c r="D38" s="39">
        <f>HLOOKUP(D37,$F$3:$AW$7,5)</f>
        <v>3278181</v>
      </c>
      <c r="E38" s="29" t="s">
        <v>20</v>
      </c>
      <c r="H38" s="40"/>
      <c r="J38" s="40">
        <f>+$D38</f>
        <v>3278181</v>
      </c>
      <c r="K38" s="40">
        <f>+J38-K37</f>
        <v>3194125.076923077</v>
      </c>
      <c r="L38" s="40">
        <f t="shared" ref="L38:AW38" si="22">+K38-L37</f>
        <v>3110069.153846154</v>
      </c>
      <c r="M38" s="40">
        <f t="shared" si="22"/>
        <v>3026013.230769231</v>
      </c>
      <c r="N38" s="40">
        <f t="shared" si="22"/>
        <v>2941957.307692308</v>
      </c>
      <c r="O38" s="40">
        <f t="shared" si="22"/>
        <v>2857901.384615385</v>
      </c>
      <c r="P38" s="40">
        <f t="shared" si="22"/>
        <v>2773845.461538462</v>
      </c>
      <c r="Q38" s="40">
        <f t="shared" si="22"/>
        <v>2689789.538461539</v>
      </c>
      <c r="R38" s="40">
        <f t="shared" si="22"/>
        <v>2605733.615384616</v>
      </c>
      <c r="S38" s="40">
        <f t="shared" si="22"/>
        <v>2521677.692307693</v>
      </c>
      <c r="T38" s="40">
        <f t="shared" si="22"/>
        <v>2437621.7692307699</v>
      </c>
      <c r="U38" s="40">
        <f t="shared" si="22"/>
        <v>2353565.8461538469</v>
      </c>
      <c r="V38" s="40">
        <f t="shared" si="22"/>
        <v>2269509.9230769239</v>
      </c>
      <c r="W38" s="40">
        <f t="shared" si="22"/>
        <v>2185454.0000000009</v>
      </c>
      <c r="X38" s="40">
        <f t="shared" si="22"/>
        <v>2101398.0769230779</v>
      </c>
      <c r="Y38" s="40">
        <f t="shared" si="22"/>
        <v>2017342.1538461549</v>
      </c>
      <c r="Z38" s="40">
        <f t="shared" si="22"/>
        <v>1933286.2307692319</v>
      </c>
      <c r="AA38" s="40">
        <f t="shared" si="22"/>
        <v>1849230.3076923089</v>
      </c>
      <c r="AB38" s="40">
        <f t="shared" si="22"/>
        <v>1765174.3846153859</v>
      </c>
      <c r="AC38" s="40">
        <f t="shared" si="22"/>
        <v>1681118.4615384629</v>
      </c>
      <c r="AD38" s="40">
        <f t="shared" si="22"/>
        <v>1597062.5384615399</v>
      </c>
      <c r="AE38" s="40">
        <f t="shared" si="22"/>
        <v>1513006.6153846169</v>
      </c>
      <c r="AF38" s="40">
        <f t="shared" si="22"/>
        <v>1428950.6923076939</v>
      </c>
      <c r="AG38" s="40">
        <f t="shared" si="22"/>
        <v>1344894.7692307709</v>
      </c>
      <c r="AH38" s="40">
        <f t="shared" si="22"/>
        <v>1260838.8461538479</v>
      </c>
      <c r="AI38" s="40">
        <f t="shared" si="22"/>
        <v>1176782.9230769249</v>
      </c>
      <c r="AJ38" s="40">
        <f t="shared" si="22"/>
        <v>1092727.0000000019</v>
      </c>
      <c r="AK38" s="40">
        <f t="shared" si="22"/>
        <v>1008671.0769230787</v>
      </c>
      <c r="AL38" s="40">
        <f t="shared" si="22"/>
        <v>924615.15384615562</v>
      </c>
      <c r="AM38" s="40">
        <f t="shared" si="22"/>
        <v>840559.2307692325</v>
      </c>
      <c r="AN38" s="40">
        <f t="shared" si="22"/>
        <v>756503.30769230938</v>
      </c>
      <c r="AO38" s="40">
        <f t="shared" si="22"/>
        <v>672447.38461538625</v>
      </c>
      <c r="AP38" s="40">
        <f t="shared" si="22"/>
        <v>588391.46153846313</v>
      </c>
      <c r="AQ38" s="40">
        <f t="shared" si="22"/>
        <v>504335.53846154007</v>
      </c>
      <c r="AR38" s="40">
        <f t="shared" si="22"/>
        <v>420279.61538461701</v>
      </c>
      <c r="AS38" s="40">
        <f t="shared" si="22"/>
        <v>336223.69230769394</v>
      </c>
      <c r="AT38" s="40">
        <f t="shared" si="22"/>
        <v>252167.76923077088</v>
      </c>
      <c r="AU38" s="40">
        <f t="shared" si="22"/>
        <v>168111.84615384782</v>
      </c>
      <c r="AV38" s="40">
        <f t="shared" si="22"/>
        <v>84055.923076924737</v>
      </c>
      <c r="AW38" s="40">
        <f t="shared" si="22"/>
        <v>1.6589183360338211E-9</v>
      </c>
    </row>
    <row r="39" spans="1:49" ht="8.1" customHeight="1" x14ac:dyDescent="0.2">
      <c r="D39" s="39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</row>
    <row r="40" spans="1:49" x14ac:dyDescent="0.2">
      <c r="B40" s="27">
        <f>+B37</f>
        <v>1</v>
      </c>
      <c r="C40" s="28">
        <f>+$D$7</f>
        <v>39</v>
      </c>
      <c r="D40" s="27">
        <f>+D37+1</f>
        <v>6</v>
      </c>
      <c r="E40" s="29" t="s">
        <v>27</v>
      </c>
      <c r="I40" s="35"/>
      <c r="J40" s="35"/>
      <c r="K40" s="29">
        <v>0</v>
      </c>
      <c r="L40" s="35">
        <f>+$D41/$C40</f>
        <v>86577.600769230776</v>
      </c>
      <c r="M40" s="35">
        <f t="shared" ref="M40:AW40" si="23">+$D41/$C40</f>
        <v>86577.600769230776</v>
      </c>
      <c r="N40" s="35">
        <f t="shared" si="23"/>
        <v>86577.600769230776</v>
      </c>
      <c r="O40" s="35">
        <f t="shared" si="23"/>
        <v>86577.600769230776</v>
      </c>
      <c r="P40" s="35">
        <f t="shared" si="23"/>
        <v>86577.600769230776</v>
      </c>
      <c r="Q40" s="35">
        <f t="shared" si="23"/>
        <v>86577.600769230776</v>
      </c>
      <c r="R40" s="35">
        <f t="shared" si="23"/>
        <v>86577.600769230776</v>
      </c>
      <c r="S40" s="35">
        <f t="shared" si="23"/>
        <v>86577.600769230776</v>
      </c>
      <c r="T40" s="35">
        <f t="shared" si="23"/>
        <v>86577.600769230776</v>
      </c>
      <c r="U40" s="35">
        <f t="shared" si="23"/>
        <v>86577.600769230776</v>
      </c>
      <c r="V40" s="35">
        <f t="shared" si="23"/>
        <v>86577.600769230776</v>
      </c>
      <c r="W40" s="35">
        <f t="shared" si="23"/>
        <v>86577.600769230776</v>
      </c>
      <c r="X40" s="35">
        <f t="shared" si="23"/>
        <v>86577.600769230776</v>
      </c>
      <c r="Y40" s="35">
        <f t="shared" si="23"/>
        <v>86577.600769230776</v>
      </c>
      <c r="Z40" s="35">
        <f t="shared" si="23"/>
        <v>86577.600769230776</v>
      </c>
      <c r="AA40" s="35">
        <f t="shared" si="23"/>
        <v>86577.600769230776</v>
      </c>
      <c r="AB40" s="35">
        <f t="shared" si="23"/>
        <v>86577.600769230776</v>
      </c>
      <c r="AC40" s="35">
        <f t="shared" si="23"/>
        <v>86577.600769230776</v>
      </c>
      <c r="AD40" s="35">
        <f t="shared" si="23"/>
        <v>86577.600769230776</v>
      </c>
      <c r="AE40" s="35">
        <f t="shared" si="23"/>
        <v>86577.600769230776</v>
      </c>
      <c r="AF40" s="35">
        <f t="shared" si="23"/>
        <v>86577.600769230776</v>
      </c>
      <c r="AG40" s="35">
        <f t="shared" si="23"/>
        <v>86577.600769230776</v>
      </c>
      <c r="AH40" s="35">
        <f t="shared" si="23"/>
        <v>86577.600769230776</v>
      </c>
      <c r="AI40" s="35">
        <f t="shared" si="23"/>
        <v>86577.600769230776</v>
      </c>
      <c r="AJ40" s="35">
        <f t="shared" si="23"/>
        <v>86577.600769230776</v>
      </c>
      <c r="AK40" s="35">
        <f t="shared" si="23"/>
        <v>86577.600769230776</v>
      </c>
      <c r="AL40" s="35">
        <f t="shared" si="23"/>
        <v>86577.600769230776</v>
      </c>
      <c r="AM40" s="35">
        <f t="shared" si="23"/>
        <v>86577.600769230776</v>
      </c>
      <c r="AN40" s="35">
        <f t="shared" si="23"/>
        <v>86577.600769230776</v>
      </c>
      <c r="AO40" s="35">
        <f t="shared" si="23"/>
        <v>86577.600769230776</v>
      </c>
      <c r="AP40" s="35">
        <f t="shared" si="23"/>
        <v>86577.600769230776</v>
      </c>
      <c r="AQ40" s="35">
        <f t="shared" si="23"/>
        <v>86577.600769230776</v>
      </c>
      <c r="AR40" s="35">
        <f t="shared" si="23"/>
        <v>86577.600769230776</v>
      </c>
      <c r="AS40" s="35">
        <f t="shared" si="23"/>
        <v>86577.600769230776</v>
      </c>
      <c r="AT40" s="35">
        <f t="shared" si="23"/>
        <v>86577.600769230776</v>
      </c>
      <c r="AU40" s="35">
        <f t="shared" si="23"/>
        <v>86577.600769230776</v>
      </c>
      <c r="AV40" s="35">
        <f t="shared" si="23"/>
        <v>86577.600769230776</v>
      </c>
      <c r="AW40" s="35">
        <f t="shared" si="23"/>
        <v>86577.600769230776</v>
      </c>
    </row>
    <row r="41" spans="1:49" x14ac:dyDescent="0.2">
      <c r="A41" s="27">
        <f>+A38</f>
        <v>1</v>
      </c>
      <c r="D41" s="39">
        <f>HLOOKUP(D40,$F$3:$AW$7,5)</f>
        <v>3376526.43</v>
      </c>
      <c r="E41" s="29" t="s">
        <v>20</v>
      </c>
      <c r="H41" s="40"/>
      <c r="I41" s="40"/>
      <c r="J41" s="40"/>
      <c r="K41" s="40">
        <f>+$D41</f>
        <v>3376526.43</v>
      </c>
      <c r="L41" s="40">
        <f>+K41-L40</f>
        <v>3289948.8292307695</v>
      </c>
      <c r="M41" s="40">
        <f t="shared" ref="M41:AW41" si="24">+L41-M40</f>
        <v>3203371.2284615389</v>
      </c>
      <c r="N41" s="40">
        <f t="shared" si="24"/>
        <v>3116793.6276923083</v>
      </c>
      <c r="O41" s="40">
        <f t="shared" si="24"/>
        <v>3030216.0269230776</v>
      </c>
      <c r="P41" s="40">
        <f t="shared" si="24"/>
        <v>2943638.426153847</v>
      </c>
      <c r="Q41" s="40">
        <f t="shared" si="24"/>
        <v>2857060.8253846164</v>
      </c>
      <c r="R41" s="40">
        <f t="shared" si="24"/>
        <v>2770483.2246153858</v>
      </c>
      <c r="S41" s="40">
        <f t="shared" si="24"/>
        <v>2683905.6238461551</v>
      </c>
      <c r="T41" s="40">
        <f t="shared" si="24"/>
        <v>2597328.0230769245</v>
      </c>
      <c r="U41" s="40">
        <f t="shared" si="24"/>
        <v>2510750.4223076939</v>
      </c>
      <c r="V41" s="40">
        <f t="shared" si="24"/>
        <v>2424172.8215384632</v>
      </c>
      <c r="W41" s="40">
        <f t="shared" si="24"/>
        <v>2337595.2207692326</v>
      </c>
      <c r="X41" s="40">
        <f t="shared" si="24"/>
        <v>2251017.620000002</v>
      </c>
      <c r="Y41" s="40">
        <f t="shared" si="24"/>
        <v>2164440.0192307713</v>
      </c>
      <c r="Z41" s="40">
        <f t="shared" si="24"/>
        <v>2077862.4184615405</v>
      </c>
      <c r="AA41" s="40">
        <f t="shared" si="24"/>
        <v>1991284.8176923096</v>
      </c>
      <c r="AB41" s="40">
        <f t="shared" si="24"/>
        <v>1904707.2169230788</v>
      </c>
      <c r="AC41" s="40">
        <f t="shared" si="24"/>
        <v>1818129.6161538479</v>
      </c>
      <c r="AD41" s="40">
        <f t="shared" si="24"/>
        <v>1731552.015384617</v>
      </c>
      <c r="AE41" s="40">
        <f t="shared" si="24"/>
        <v>1644974.4146153862</v>
      </c>
      <c r="AF41" s="40">
        <f t="shared" si="24"/>
        <v>1558396.8138461553</v>
      </c>
      <c r="AG41" s="40">
        <f t="shared" si="24"/>
        <v>1471819.2130769244</v>
      </c>
      <c r="AH41" s="40">
        <f t="shared" si="24"/>
        <v>1385241.6123076936</v>
      </c>
      <c r="AI41" s="40">
        <f t="shared" si="24"/>
        <v>1298664.0115384627</v>
      </c>
      <c r="AJ41" s="40">
        <f t="shared" si="24"/>
        <v>1212086.4107692319</v>
      </c>
      <c r="AK41" s="40">
        <f t="shared" si="24"/>
        <v>1125508.810000001</v>
      </c>
      <c r="AL41" s="40">
        <f t="shared" si="24"/>
        <v>1038931.2092307702</v>
      </c>
      <c r="AM41" s="40">
        <f t="shared" si="24"/>
        <v>952353.60846153949</v>
      </c>
      <c r="AN41" s="40">
        <f t="shared" si="24"/>
        <v>865776.00769230875</v>
      </c>
      <c r="AO41" s="40">
        <f t="shared" si="24"/>
        <v>779198.406923078</v>
      </c>
      <c r="AP41" s="40">
        <f t="shared" si="24"/>
        <v>692620.80615384725</v>
      </c>
      <c r="AQ41" s="40">
        <f t="shared" si="24"/>
        <v>606043.20538461651</v>
      </c>
      <c r="AR41" s="40">
        <f t="shared" si="24"/>
        <v>519465.60461538576</v>
      </c>
      <c r="AS41" s="40">
        <f t="shared" si="24"/>
        <v>432888.00384615501</v>
      </c>
      <c r="AT41" s="40">
        <f t="shared" si="24"/>
        <v>346310.40307692427</v>
      </c>
      <c r="AU41" s="40">
        <f t="shared" si="24"/>
        <v>259732.80230769349</v>
      </c>
      <c r="AV41" s="40">
        <f t="shared" si="24"/>
        <v>173155.20153846272</v>
      </c>
      <c r="AW41" s="40">
        <f t="shared" si="24"/>
        <v>86577.60076923194</v>
      </c>
    </row>
    <row r="42" spans="1:49" ht="8.1" customHeight="1" x14ac:dyDescent="0.2">
      <c r="D42" s="39"/>
      <c r="H42" s="40"/>
      <c r="I42" s="40"/>
      <c r="J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</row>
    <row r="43" spans="1:49" x14ac:dyDescent="0.2">
      <c r="B43" s="27">
        <f>+B40</f>
        <v>1</v>
      </c>
      <c r="C43" s="28">
        <f>+$D$7</f>
        <v>39</v>
      </c>
      <c r="D43" s="27">
        <f>+D40+1</f>
        <v>7</v>
      </c>
      <c r="E43" s="29" t="s">
        <v>27</v>
      </c>
      <c r="I43" s="35"/>
      <c r="J43" s="35"/>
      <c r="L43" s="29">
        <v>0</v>
      </c>
      <c r="M43" s="35">
        <f>+$D44/$C43</f>
        <v>89174.928792307706</v>
      </c>
      <c r="N43" s="35">
        <f t="shared" ref="N43:AW43" si="25">+$D44/$C43</f>
        <v>89174.928792307706</v>
      </c>
      <c r="O43" s="35">
        <f t="shared" si="25"/>
        <v>89174.928792307706</v>
      </c>
      <c r="P43" s="35">
        <f t="shared" si="25"/>
        <v>89174.928792307706</v>
      </c>
      <c r="Q43" s="35">
        <f t="shared" si="25"/>
        <v>89174.928792307706</v>
      </c>
      <c r="R43" s="35">
        <f t="shared" si="25"/>
        <v>89174.928792307706</v>
      </c>
      <c r="S43" s="35">
        <f t="shared" si="25"/>
        <v>89174.928792307706</v>
      </c>
      <c r="T43" s="35">
        <f t="shared" si="25"/>
        <v>89174.928792307706</v>
      </c>
      <c r="U43" s="35">
        <f t="shared" si="25"/>
        <v>89174.928792307706</v>
      </c>
      <c r="V43" s="35">
        <f t="shared" si="25"/>
        <v>89174.928792307706</v>
      </c>
      <c r="W43" s="35">
        <f t="shared" si="25"/>
        <v>89174.928792307706</v>
      </c>
      <c r="X43" s="35">
        <f t="shared" si="25"/>
        <v>89174.928792307706</v>
      </c>
      <c r="Y43" s="35">
        <f t="shared" si="25"/>
        <v>89174.928792307706</v>
      </c>
      <c r="Z43" s="35">
        <f t="shared" si="25"/>
        <v>89174.928792307706</v>
      </c>
      <c r="AA43" s="35">
        <f t="shared" si="25"/>
        <v>89174.928792307706</v>
      </c>
      <c r="AB43" s="35">
        <f t="shared" si="25"/>
        <v>89174.928792307706</v>
      </c>
      <c r="AC43" s="35">
        <f t="shared" si="25"/>
        <v>89174.928792307706</v>
      </c>
      <c r="AD43" s="35">
        <f t="shared" si="25"/>
        <v>89174.928792307706</v>
      </c>
      <c r="AE43" s="35">
        <f t="shared" si="25"/>
        <v>89174.928792307706</v>
      </c>
      <c r="AF43" s="35">
        <f t="shared" si="25"/>
        <v>89174.928792307706</v>
      </c>
      <c r="AG43" s="35">
        <f t="shared" si="25"/>
        <v>89174.928792307706</v>
      </c>
      <c r="AH43" s="35">
        <f t="shared" si="25"/>
        <v>89174.928792307706</v>
      </c>
      <c r="AI43" s="35">
        <f t="shared" si="25"/>
        <v>89174.928792307706</v>
      </c>
      <c r="AJ43" s="35">
        <f t="shared" si="25"/>
        <v>89174.928792307706</v>
      </c>
      <c r="AK43" s="35">
        <f t="shared" si="25"/>
        <v>89174.928792307706</v>
      </c>
      <c r="AL43" s="35">
        <f t="shared" si="25"/>
        <v>89174.928792307706</v>
      </c>
      <c r="AM43" s="35">
        <f t="shared" si="25"/>
        <v>89174.928792307706</v>
      </c>
      <c r="AN43" s="35">
        <f t="shared" si="25"/>
        <v>89174.928792307706</v>
      </c>
      <c r="AO43" s="35">
        <f t="shared" si="25"/>
        <v>89174.928792307706</v>
      </c>
      <c r="AP43" s="35">
        <f t="shared" si="25"/>
        <v>89174.928792307706</v>
      </c>
      <c r="AQ43" s="35">
        <f t="shared" si="25"/>
        <v>89174.928792307706</v>
      </c>
      <c r="AR43" s="35">
        <f t="shared" si="25"/>
        <v>89174.928792307706</v>
      </c>
      <c r="AS43" s="35">
        <f t="shared" si="25"/>
        <v>89174.928792307706</v>
      </c>
      <c r="AT43" s="35">
        <f t="shared" si="25"/>
        <v>89174.928792307706</v>
      </c>
      <c r="AU43" s="35">
        <f t="shared" si="25"/>
        <v>89174.928792307706</v>
      </c>
      <c r="AV43" s="35">
        <f t="shared" si="25"/>
        <v>89174.928792307706</v>
      </c>
      <c r="AW43" s="35">
        <f t="shared" si="25"/>
        <v>89174.928792307706</v>
      </c>
    </row>
    <row r="44" spans="1:49" x14ac:dyDescent="0.2">
      <c r="A44" s="27">
        <f>+A41</f>
        <v>1</v>
      </c>
      <c r="D44" s="39">
        <f>HLOOKUP(D43,$F$3:$AW$7,5)</f>
        <v>3477822.2229000004</v>
      </c>
      <c r="E44" s="29" t="s">
        <v>20</v>
      </c>
      <c r="H44" s="40"/>
      <c r="I44" s="40"/>
      <c r="J44" s="40"/>
      <c r="L44" s="40">
        <f>+$D44</f>
        <v>3477822.2229000004</v>
      </c>
      <c r="M44" s="40">
        <f>+L44-M43</f>
        <v>3388647.2941076928</v>
      </c>
      <c r="N44" s="40">
        <f t="shared" ref="N44:AW44" si="26">+M44-N43</f>
        <v>3299472.3653153852</v>
      </c>
      <c r="O44" s="40">
        <f t="shared" si="26"/>
        <v>3210297.4365230775</v>
      </c>
      <c r="P44" s="40">
        <f t="shared" si="26"/>
        <v>3121122.5077307699</v>
      </c>
      <c r="Q44" s="40">
        <f t="shared" si="26"/>
        <v>3031947.5789384623</v>
      </c>
      <c r="R44" s="40">
        <f t="shared" si="26"/>
        <v>2942772.6501461547</v>
      </c>
      <c r="S44" s="40">
        <f t="shared" si="26"/>
        <v>2853597.7213538471</v>
      </c>
      <c r="T44" s="40">
        <f t="shared" si="26"/>
        <v>2764422.7925615394</v>
      </c>
      <c r="U44" s="40">
        <f t="shared" si="26"/>
        <v>2675247.8637692318</v>
      </c>
      <c r="V44" s="40">
        <f t="shared" si="26"/>
        <v>2586072.9349769242</v>
      </c>
      <c r="W44" s="40">
        <f t="shared" si="26"/>
        <v>2496898.0061846166</v>
      </c>
      <c r="X44" s="40">
        <f t="shared" si="26"/>
        <v>2407723.077392309</v>
      </c>
      <c r="Y44" s="40">
        <f t="shared" si="26"/>
        <v>2318548.1486000014</v>
      </c>
      <c r="Z44" s="40">
        <f t="shared" si="26"/>
        <v>2229373.2198076937</v>
      </c>
      <c r="AA44" s="40">
        <f t="shared" si="26"/>
        <v>2140198.2910153861</v>
      </c>
      <c r="AB44" s="40">
        <f t="shared" si="26"/>
        <v>2051023.3622230785</v>
      </c>
      <c r="AC44" s="40">
        <f t="shared" si="26"/>
        <v>1961848.4334307709</v>
      </c>
      <c r="AD44" s="40">
        <f t="shared" si="26"/>
        <v>1872673.5046384633</v>
      </c>
      <c r="AE44" s="40">
        <f t="shared" si="26"/>
        <v>1783498.5758461556</v>
      </c>
      <c r="AF44" s="40">
        <f t="shared" si="26"/>
        <v>1694323.647053848</v>
      </c>
      <c r="AG44" s="40">
        <f t="shared" si="26"/>
        <v>1605148.7182615404</v>
      </c>
      <c r="AH44" s="40">
        <f t="shared" si="26"/>
        <v>1515973.7894692328</v>
      </c>
      <c r="AI44" s="40">
        <f t="shared" si="26"/>
        <v>1426798.8606769252</v>
      </c>
      <c r="AJ44" s="40">
        <f t="shared" si="26"/>
        <v>1337623.9318846175</v>
      </c>
      <c r="AK44" s="40">
        <f t="shared" si="26"/>
        <v>1248449.0030923099</v>
      </c>
      <c r="AL44" s="40">
        <f t="shared" si="26"/>
        <v>1159274.0743000023</v>
      </c>
      <c r="AM44" s="40">
        <f t="shared" si="26"/>
        <v>1070099.1455076947</v>
      </c>
      <c r="AN44" s="40">
        <f t="shared" si="26"/>
        <v>980924.21671538695</v>
      </c>
      <c r="AO44" s="40">
        <f t="shared" si="26"/>
        <v>891749.28792307922</v>
      </c>
      <c r="AP44" s="40">
        <f t="shared" si="26"/>
        <v>802574.35913077148</v>
      </c>
      <c r="AQ44" s="40">
        <f t="shared" si="26"/>
        <v>713399.43033846375</v>
      </c>
      <c r="AR44" s="40">
        <f t="shared" si="26"/>
        <v>624224.50154615601</v>
      </c>
      <c r="AS44" s="40">
        <f t="shared" si="26"/>
        <v>535049.57275384828</v>
      </c>
      <c r="AT44" s="40">
        <f t="shared" si="26"/>
        <v>445874.64396154054</v>
      </c>
      <c r="AU44" s="40">
        <f t="shared" si="26"/>
        <v>356699.7151692328</v>
      </c>
      <c r="AV44" s="40">
        <f t="shared" si="26"/>
        <v>267524.78637692507</v>
      </c>
      <c r="AW44" s="40">
        <f t="shared" si="26"/>
        <v>178349.85758461736</v>
      </c>
    </row>
    <row r="45" spans="1:49" ht="8.1" customHeight="1" x14ac:dyDescent="0.2">
      <c r="D45" s="39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</row>
    <row r="46" spans="1:49" x14ac:dyDescent="0.2">
      <c r="B46" s="27">
        <f>+B43</f>
        <v>1</v>
      </c>
      <c r="C46" s="28">
        <f>+$D$7</f>
        <v>39</v>
      </c>
      <c r="D46" s="27">
        <f>+D43+1</f>
        <v>8</v>
      </c>
      <c r="E46" s="29" t="s">
        <v>27</v>
      </c>
      <c r="I46" s="35"/>
      <c r="J46" s="35"/>
      <c r="K46" s="35"/>
      <c r="L46" s="35"/>
      <c r="M46" s="29">
        <v>0</v>
      </c>
      <c r="N46" s="35">
        <f>+$D47/$C46</f>
        <v>91850.176656076932</v>
      </c>
      <c r="O46" s="35">
        <f t="shared" ref="O46:AW46" si="27">+$D47/$C46</f>
        <v>91850.176656076932</v>
      </c>
      <c r="P46" s="35">
        <f t="shared" si="27"/>
        <v>91850.176656076932</v>
      </c>
      <c r="Q46" s="35">
        <f t="shared" si="27"/>
        <v>91850.176656076932</v>
      </c>
      <c r="R46" s="35">
        <f t="shared" si="27"/>
        <v>91850.176656076932</v>
      </c>
      <c r="S46" s="35">
        <f t="shared" si="27"/>
        <v>91850.176656076932</v>
      </c>
      <c r="T46" s="35">
        <f t="shared" si="27"/>
        <v>91850.176656076932</v>
      </c>
      <c r="U46" s="35">
        <f t="shared" si="27"/>
        <v>91850.176656076932</v>
      </c>
      <c r="V46" s="35">
        <f t="shared" si="27"/>
        <v>91850.176656076932</v>
      </c>
      <c r="W46" s="35">
        <f t="shared" si="27"/>
        <v>91850.176656076932</v>
      </c>
      <c r="X46" s="35">
        <f t="shared" si="27"/>
        <v>91850.176656076932</v>
      </c>
      <c r="Y46" s="35">
        <f t="shared" si="27"/>
        <v>91850.176656076932</v>
      </c>
      <c r="Z46" s="35">
        <f t="shared" si="27"/>
        <v>91850.176656076932</v>
      </c>
      <c r="AA46" s="35">
        <f t="shared" si="27"/>
        <v>91850.176656076932</v>
      </c>
      <c r="AB46" s="35">
        <f t="shared" si="27"/>
        <v>91850.176656076932</v>
      </c>
      <c r="AC46" s="35">
        <f t="shared" si="27"/>
        <v>91850.176656076932</v>
      </c>
      <c r="AD46" s="35">
        <f t="shared" si="27"/>
        <v>91850.176656076932</v>
      </c>
      <c r="AE46" s="35">
        <f t="shared" si="27"/>
        <v>91850.176656076932</v>
      </c>
      <c r="AF46" s="35">
        <f t="shared" si="27"/>
        <v>91850.176656076932</v>
      </c>
      <c r="AG46" s="35">
        <f t="shared" si="27"/>
        <v>91850.176656076932</v>
      </c>
      <c r="AH46" s="35">
        <f t="shared" si="27"/>
        <v>91850.176656076932</v>
      </c>
      <c r="AI46" s="35">
        <f t="shared" si="27"/>
        <v>91850.176656076932</v>
      </c>
      <c r="AJ46" s="35">
        <f t="shared" si="27"/>
        <v>91850.176656076932</v>
      </c>
      <c r="AK46" s="35">
        <f t="shared" si="27"/>
        <v>91850.176656076932</v>
      </c>
      <c r="AL46" s="35">
        <f t="shared" si="27"/>
        <v>91850.176656076932</v>
      </c>
      <c r="AM46" s="35">
        <f t="shared" si="27"/>
        <v>91850.176656076932</v>
      </c>
      <c r="AN46" s="35">
        <f t="shared" si="27"/>
        <v>91850.176656076932</v>
      </c>
      <c r="AO46" s="35">
        <f t="shared" si="27"/>
        <v>91850.176656076932</v>
      </c>
      <c r="AP46" s="35">
        <f t="shared" si="27"/>
        <v>91850.176656076932</v>
      </c>
      <c r="AQ46" s="35">
        <f t="shared" si="27"/>
        <v>91850.176656076932</v>
      </c>
      <c r="AR46" s="35">
        <f t="shared" si="27"/>
        <v>91850.176656076932</v>
      </c>
      <c r="AS46" s="35">
        <f t="shared" si="27"/>
        <v>91850.176656076932</v>
      </c>
      <c r="AT46" s="35">
        <f t="shared" si="27"/>
        <v>91850.176656076932</v>
      </c>
      <c r="AU46" s="35">
        <f t="shared" si="27"/>
        <v>91850.176656076932</v>
      </c>
      <c r="AV46" s="35">
        <f t="shared" si="27"/>
        <v>91850.176656076932</v>
      </c>
      <c r="AW46" s="35">
        <f t="shared" si="27"/>
        <v>91850.176656076932</v>
      </c>
    </row>
    <row r="47" spans="1:49" x14ac:dyDescent="0.2">
      <c r="A47" s="27">
        <f>+A44</f>
        <v>1</v>
      </c>
      <c r="D47" s="39">
        <f>HLOOKUP(D46,$F$3:$AW$7,5)</f>
        <v>3582156.8895870005</v>
      </c>
      <c r="E47" s="29" t="s">
        <v>20</v>
      </c>
      <c r="H47" s="40"/>
      <c r="I47" s="40"/>
      <c r="J47" s="40"/>
      <c r="K47" s="40"/>
      <c r="L47" s="40"/>
      <c r="M47" s="40">
        <f>+$D47</f>
        <v>3582156.8895870005</v>
      </c>
      <c r="N47" s="40">
        <f>+M47-N46</f>
        <v>3490306.7129309233</v>
      </c>
      <c r="O47" s="40">
        <f t="shared" ref="O47:AW47" si="28">+N47-O46</f>
        <v>3398456.5362748462</v>
      </c>
      <c r="P47" s="40">
        <f t="shared" si="28"/>
        <v>3306606.359618769</v>
      </c>
      <c r="Q47" s="40">
        <f t="shared" si="28"/>
        <v>3214756.1829626919</v>
      </c>
      <c r="R47" s="40">
        <f t="shared" si="28"/>
        <v>3122906.0063066147</v>
      </c>
      <c r="S47" s="40">
        <f t="shared" si="28"/>
        <v>3031055.8296505376</v>
      </c>
      <c r="T47" s="40">
        <f t="shared" si="28"/>
        <v>2939205.6529944604</v>
      </c>
      <c r="U47" s="40">
        <f t="shared" si="28"/>
        <v>2847355.4763383833</v>
      </c>
      <c r="V47" s="40">
        <f t="shared" si="28"/>
        <v>2755505.2996823061</v>
      </c>
      <c r="W47" s="40">
        <f t="shared" si="28"/>
        <v>2663655.123026229</v>
      </c>
      <c r="X47" s="40">
        <f t="shared" si="28"/>
        <v>2571804.9463701518</v>
      </c>
      <c r="Y47" s="40">
        <f t="shared" si="28"/>
        <v>2479954.7697140747</v>
      </c>
      <c r="Z47" s="40">
        <f t="shared" si="28"/>
        <v>2388104.5930579975</v>
      </c>
      <c r="AA47" s="40">
        <f t="shared" si="28"/>
        <v>2296254.4164019204</v>
      </c>
      <c r="AB47" s="40">
        <f t="shared" si="28"/>
        <v>2204404.2397458432</v>
      </c>
      <c r="AC47" s="40">
        <f t="shared" si="28"/>
        <v>2112554.0630897661</v>
      </c>
      <c r="AD47" s="40">
        <f t="shared" si="28"/>
        <v>2020703.8864336892</v>
      </c>
      <c r="AE47" s="40">
        <f t="shared" si="28"/>
        <v>1928853.7097776122</v>
      </c>
      <c r="AF47" s="40">
        <f t="shared" si="28"/>
        <v>1837003.5331215353</v>
      </c>
      <c r="AG47" s="40">
        <f t="shared" si="28"/>
        <v>1745153.3564654584</v>
      </c>
      <c r="AH47" s="40">
        <f t="shared" si="28"/>
        <v>1653303.1798093815</v>
      </c>
      <c r="AI47" s="40">
        <f t="shared" si="28"/>
        <v>1561453.0031533046</v>
      </c>
      <c r="AJ47" s="40">
        <f t="shared" si="28"/>
        <v>1469602.8264972277</v>
      </c>
      <c r="AK47" s="40">
        <f t="shared" si="28"/>
        <v>1377752.6498411507</v>
      </c>
      <c r="AL47" s="40">
        <f t="shared" si="28"/>
        <v>1285902.4731850738</v>
      </c>
      <c r="AM47" s="40">
        <f t="shared" si="28"/>
        <v>1194052.2965289969</v>
      </c>
      <c r="AN47" s="40">
        <f t="shared" si="28"/>
        <v>1102202.11987292</v>
      </c>
      <c r="AO47" s="40">
        <f t="shared" si="28"/>
        <v>1010351.9432168431</v>
      </c>
      <c r="AP47" s="40">
        <f t="shared" si="28"/>
        <v>918501.76656076615</v>
      </c>
      <c r="AQ47" s="40">
        <f t="shared" si="28"/>
        <v>826651.58990468923</v>
      </c>
      <c r="AR47" s="40">
        <f t="shared" si="28"/>
        <v>734801.41324861231</v>
      </c>
      <c r="AS47" s="40">
        <f t="shared" si="28"/>
        <v>642951.2365925354</v>
      </c>
      <c r="AT47" s="40">
        <f t="shared" si="28"/>
        <v>551101.05993645848</v>
      </c>
      <c r="AU47" s="40">
        <f t="shared" si="28"/>
        <v>459250.88328038156</v>
      </c>
      <c r="AV47" s="40">
        <f t="shared" si="28"/>
        <v>367400.70662430464</v>
      </c>
      <c r="AW47" s="40">
        <f t="shared" si="28"/>
        <v>275550.52996822773</v>
      </c>
    </row>
    <row r="48" spans="1:49" ht="8.1" customHeight="1" x14ac:dyDescent="0.2">
      <c r="D48" s="39"/>
      <c r="H48" s="40"/>
      <c r="I48" s="40"/>
      <c r="J48" s="40"/>
      <c r="K48" s="40"/>
      <c r="L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</row>
    <row r="49" spans="1:49" x14ac:dyDescent="0.2">
      <c r="B49" s="27">
        <f>+B46</f>
        <v>1</v>
      </c>
      <c r="C49" s="28">
        <f>+$D$7</f>
        <v>39</v>
      </c>
      <c r="D49" s="27">
        <f>+D46+1</f>
        <v>9</v>
      </c>
      <c r="E49" s="29" t="s">
        <v>27</v>
      </c>
      <c r="I49" s="35"/>
      <c r="J49" s="35"/>
      <c r="K49" s="35"/>
      <c r="L49" s="35"/>
      <c r="N49" s="29">
        <v>0</v>
      </c>
      <c r="O49" s="35">
        <f>+$D50/$C49</f>
        <v>94605.681955759253</v>
      </c>
      <c r="P49" s="35">
        <f t="shared" ref="P49:AW49" si="29">+$D50/$C49</f>
        <v>94605.681955759253</v>
      </c>
      <c r="Q49" s="35">
        <f t="shared" si="29"/>
        <v>94605.681955759253</v>
      </c>
      <c r="R49" s="35">
        <f t="shared" si="29"/>
        <v>94605.681955759253</v>
      </c>
      <c r="S49" s="35">
        <f t="shared" si="29"/>
        <v>94605.681955759253</v>
      </c>
      <c r="T49" s="35">
        <f t="shared" si="29"/>
        <v>94605.681955759253</v>
      </c>
      <c r="U49" s="35">
        <f t="shared" si="29"/>
        <v>94605.681955759253</v>
      </c>
      <c r="V49" s="35">
        <f t="shared" si="29"/>
        <v>94605.681955759253</v>
      </c>
      <c r="W49" s="35">
        <f t="shared" si="29"/>
        <v>94605.681955759253</v>
      </c>
      <c r="X49" s="35">
        <f t="shared" si="29"/>
        <v>94605.681955759253</v>
      </c>
      <c r="Y49" s="35">
        <f t="shared" si="29"/>
        <v>94605.681955759253</v>
      </c>
      <c r="Z49" s="35">
        <f t="shared" si="29"/>
        <v>94605.681955759253</v>
      </c>
      <c r="AA49" s="35">
        <f t="shared" si="29"/>
        <v>94605.681955759253</v>
      </c>
      <c r="AB49" s="35">
        <f t="shared" si="29"/>
        <v>94605.681955759253</v>
      </c>
      <c r="AC49" s="35">
        <f t="shared" si="29"/>
        <v>94605.681955759253</v>
      </c>
      <c r="AD49" s="35">
        <f t="shared" si="29"/>
        <v>94605.681955759253</v>
      </c>
      <c r="AE49" s="35">
        <f t="shared" si="29"/>
        <v>94605.681955759253</v>
      </c>
      <c r="AF49" s="35">
        <f t="shared" si="29"/>
        <v>94605.681955759253</v>
      </c>
      <c r="AG49" s="35">
        <f t="shared" si="29"/>
        <v>94605.681955759253</v>
      </c>
      <c r="AH49" s="35">
        <f t="shared" si="29"/>
        <v>94605.681955759253</v>
      </c>
      <c r="AI49" s="35">
        <f t="shared" si="29"/>
        <v>94605.681955759253</v>
      </c>
      <c r="AJ49" s="35">
        <f t="shared" si="29"/>
        <v>94605.681955759253</v>
      </c>
      <c r="AK49" s="35">
        <f t="shared" si="29"/>
        <v>94605.681955759253</v>
      </c>
      <c r="AL49" s="35">
        <f t="shared" si="29"/>
        <v>94605.681955759253</v>
      </c>
      <c r="AM49" s="35">
        <f t="shared" si="29"/>
        <v>94605.681955759253</v>
      </c>
      <c r="AN49" s="35">
        <f t="shared" si="29"/>
        <v>94605.681955759253</v>
      </c>
      <c r="AO49" s="35">
        <f t="shared" si="29"/>
        <v>94605.681955759253</v>
      </c>
      <c r="AP49" s="35">
        <f t="shared" si="29"/>
        <v>94605.681955759253</v>
      </c>
      <c r="AQ49" s="35">
        <f t="shared" si="29"/>
        <v>94605.681955759253</v>
      </c>
      <c r="AR49" s="35">
        <f t="shared" si="29"/>
        <v>94605.681955759253</v>
      </c>
      <c r="AS49" s="35">
        <f t="shared" si="29"/>
        <v>94605.681955759253</v>
      </c>
      <c r="AT49" s="35">
        <f t="shared" si="29"/>
        <v>94605.681955759253</v>
      </c>
      <c r="AU49" s="35">
        <f t="shared" si="29"/>
        <v>94605.681955759253</v>
      </c>
      <c r="AV49" s="35">
        <f t="shared" si="29"/>
        <v>94605.681955759253</v>
      </c>
      <c r="AW49" s="35">
        <f t="shared" si="29"/>
        <v>94605.681955759253</v>
      </c>
    </row>
    <row r="50" spans="1:49" x14ac:dyDescent="0.2">
      <c r="A50" s="27">
        <f>+A47</f>
        <v>1</v>
      </c>
      <c r="D50" s="39">
        <f>HLOOKUP(D49,$F$3:$AW$7,5)</f>
        <v>3689621.5962746106</v>
      </c>
      <c r="E50" s="29" t="s">
        <v>20</v>
      </c>
      <c r="H50" s="40"/>
      <c r="I50" s="40"/>
      <c r="J50" s="40"/>
      <c r="K50" s="40"/>
      <c r="L50" s="40"/>
      <c r="N50" s="40">
        <f>+$D50</f>
        <v>3689621.5962746106</v>
      </c>
      <c r="O50" s="40">
        <f>+N50-O49</f>
        <v>3595015.9143188512</v>
      </c>
      <c r="P50" s="40">
        <f t="shared" ref="P50:AW50" si="30">+O50-P49</f>
        <v>3500410.2323630918</v>
      </c>
      <c r="Q50" s="40">
        <f t="shared" si="30"/>
        <v>3405804.5504073324</v>
      </c>
      <c r="R50" s="40">
        <f t="shared" si="30"/>
        <v>3311198.868451573</v>
      </c>
      <c r="S50" s="40">
        <f t="shared" si="30"/>
        <v>3216593.1864958135</v>
      </c>
      <c r="T50" s="40">
        <f t="shared" si="30"/>
        <v>3121987.5045400541</v>
      </c>
      <c r="U50" s="40">
        <f t="shared" si="30"/>
        <v>3027381.8225842947</v>
      </c>
      <c r="V50" s="40">
        <f t="shared" si="30"/>
        <v>2932776.1406285353</v>
      </c>
      <c r="W50" s="40">
        <f t="shared" si="30"/>
        <v>2838170.4586727759</v>
      </c>
      <c r="X50" s="40">
        <f t="shared" si="30"/>
        <v>2743564.7767170165</v>
      </c>
      <c r="Y50" s="40">
        <f t="shared" si="30"/>
        <v>2648959.0947612571</v>
      </c>
      <c r="Z50" s="40">
        <f t="shared" si="30"/>
        <v>2554353.4128054976</v>
      </c>
      <c r="AA50" s="40">
        <f t="shared" si="30"/>
        <v>2459747.7308497382</v>
      </c>
      <c r="AB50" s="40">
        <f t="shared" si="30"/>
        <v>2365142.0488939788</v>
      </c>
      <c r="AC50" s="40">
        <f t="shared" si="30"/>
        <v>2270536.3669382194</v>
      </c>
      <c r="AD50" s="40">
        <f t="shared" si="30"/>
        <v>2175930.68498246</v>
      </c>
      <c r="AE50" s="40">
        <f t="shared" si="30"/>
        <v>2081325.0030267008</v>
      </c>
      <c r="AF50" s="40">
        <f t="shared" si="30"/>
        <v>1986719.3210709416</v>
      </c>
      <c r="AG50" s="40">
        <f t="shared" si="30"/>
        <v>1892113.6391151825</v>
      </c>
      <c r="AH50" s="40">
        <f t="shared" si="30"/>
        <v>1797507.9571594233</v>
      </c>
      <c r="AI50" s="40">
        <f t="shared" si="30"/>
        <v>1702902.2752036641</v>
      </c>
      <c r="AJ50" s="40">
        <f t="shared" si="30"/>
        <v>1608296.5932479049</v>
      </c>
      <c r="AK50" s="40">
        <f t="shared" si="30"/>
        <v>1513690.9112921457</v>
      </c>
      <c r="AL50" s="40">
        <f t="shared" si="30"/>
        <v>1419085.2293363865</v>
      </c>
      <c r="AM50" s="40">
        <f t="shared" si="30"/>
        <v>1324479.5473806274</v>
      </c>
      <c r="AN50" s="40">
        <f t="shared" si="30"/>
        <v>1229873.8654248682</v>
      </c>
      <c r="AO50" s="40">
        <f t="shared" si="30"/>
        <v>1135268.183469109</v>
      </c>
      <c r="AP50" s="40">
        <f t="shared" si="30"/>
        <v>1040662.5015133497</v>
      </c>
      <c r="AQ50" s="40">
        <f t="shared" si="30"/>
        <v>946056.81955759041</v>
      </c>
      <c r="AR50" s="40">
        <f t="shared" si="30"/>
        <v>851451.13760183111</v>
      </c>
      <c r="AS50" s="40">
        <f t="shared" si="30"/>
        <v>756845.45564607182</v>
      </c>
      <c r="AT50" s="40">
        <f t="shared" si="30"/>
        <v>662239.77369031252</v>
      </c>
      <c r="AU50" s="40">
        <f t="shared" si="30"/>
        <v>567634.09173455322</v>
      </c>
      <c r="AV50" s="40">
        <f t="shared" si="30"/>
        <v>473028.40977879398</v>
      </c>
      <c r="AW50" s="40">
        <f t="shared" si="30"/>
        <v>378422.72782303474</v>
      </c>
    </row>
    <row r="51" spans="1:49" ht="8.1" customHeight="1" x14ac:dyDescent="0.2">
      <c r="D51" s="39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9" x14ac:dyDescent="0.2">
      <c r="B52" s="27">
        <f>+B49</f>
        <v>1</v>
      </c>
      <c r="C52" s="28">
        <f>+$D$7</f>
        <v>39</v>
      </c>
      <c r="D52" s="27">
        <f>+D49+1</f>
        <v>10</v>
      </c>
      <c r="E52" s="29" t="s">
        <v>27</v>
      </c>
      <c r="I52" s="35"/>
      <c r="J52" s="35"/>
      <c r="K52" s="35"/>
      <c r="L52" s="35"/>
      <c r="M52" s="35"/>
      <c r="N52" s="35"/>
      <c r="O52" s="29">
        <v>0</v>
      </c>
      <c r="P52" s="35">
        <f>+$D53/$C52</f>
        <v>97443.852414432025</v>
      </c>
      <c r="Q52" s="35">
        <f t="shared" ref="Q52:AW52" si="31">+$D53/$C52</f>
        <v>97443.852414432025</v>
      </c>
      <c r="R52" s="35">
        <f t="shared" si="31"/>
        <v>97443.852414432025</v>
      </c>
      <c r="S52" s="35">
        <f t="shared" si="31"/>
        <v>97443.852414432025</v>
      </c>
      <c r="T52" s="35">
        <f t="shared" si="31"/>
        <v>97443.852414432025</v>
      </c>
      <c r="U52" s="35">
        <f t="shared" si="31"/>
        <v>97443.852414432025</v>
      </c>
      <c r="V52" s="35">
        <f t="shared" si="31"/>
        <v>97443.852414432025</v>
      </c>
      <c r="W52" s="35">
        <f t="shared" si="31"/>
        <v>97443.852414432025</v>
      </c>
      <c r="X52" s="35">
        <f t="shared" si="31"/>
        <v>97443.852414432025</v>
      </c>
      <c r="Y52" s="35">
        <f t="shared" si="31"/>
        <v>97443.852414432025</v>
      </c>
      <c r="Z52" s="35">
        <f t="shared" si="31"/>
        <v>97443.852414432025</v>
      </c>
      <c r="AA52" s="35">
        <f t="shared" si="31"/>
        <v>97443.852414432025</v>
      </c>
      <c r="AB52" s="35">
        <f t="shared" si="31"/>
        <v>97443.852414432025</v>
      </c>
      <c r="AC52" s="35">
        <f t="shared" si="31"/>
        <v>97443.852414432025</v>
      </c>
      <c r="AD52" s="35">
        <f t="shared" si="31"/>
        <v>97443.852414432025</v>
      </c>
      <c r="AE52" s="35">
        <f t="shared" si="31"/>
        <v>97443.852414432025</v>
      </c>
      <c r="AF52" s="35">
        <f t="shared" si="31"/>
        <v>97443.852414432025</v>
      </c>
      <c r="AG52" s="35">
        <f t="shared" si="31"/>
        <v>97443.852414432025</v>
      </c>
      <c r="AH52" s="35">
        <f t="shared" si="31"/>
        <v>97443.852414432025</v>
      </c>
      <c r="AI52" s="35">
        <f t="shared" si="31"/>
        <v>97443.852414432025</v>
      </c>
      <c r="AJ52" s="35">
        <f t="shared" si="31"/>
        <v>97443.852414432025</v>
      </c>
      <c r="AK52" s="35">
        <f t="shared" si="31"/>
        <v>97443.852414432025</v>
      </c>
      <c r="AL52" s="35">
        <f t="shared" si="31"/>
        <v>97443.852414432025</v>
      </c>
      <c r="AM52" s="35">
        <f t="shared" si="31"/>
        <v>97443.852414432025</v>
      </c>
      <c r="AN52" s="35">
        <f t="shared" si="31"/>
        <v>97443.852414432025</v>
      </c>
      <c r="AO52" s="35">
        <f t="shared" si="31"/>
        <v>97443.852414432025</v>
      </c>
      <c r="AP52" s="35">
        <f t="shared" si="31"/>
        <v>97443.852414432025</v>
      </c>
      <c r="AQ52" s="35">
        <f t="shared" si="31"/>
        <v>97443.852414432025</v>
      </c>
      <c r="AR52" s="35">
        <f t="shared" si="31"/>
        <v>97443.852414432025</v>
      </c>
      <c r="AS52" s="35">
        <f t="shared" si="31"/>
        <v>97443.852414432025</v>
      </c>
      <c r="AT52" s="35">
        <f t="shared" si="31"/>
        <v>97443.852414432025</v>
      </c>
      <c r="AU52" s="35">
        <f t="shared" si="31"/>
        <v>97443.852414432025</v>
      </c>
      <c r="AV52" s="35">
        <f t="shared" si="31"/>
        <v>97443.852414432025</v>
      </c>
      <c r="AW52" s="35">
        <f t="shared" si="31"/>
        <v>97443.852414432025</v>
      </c>
    </row>
    <row r="53" spans="1:49" x14ac:dyDescent="0.2">
      <c r="A53" s="27">
        <f>+A50</f>
        <v>1</v>
      </c>
      <c r="D53" s="39">
        <f>HLOOKUP(D52,$F$3:$AW$7,5)</f>
        <v>3800310.2441628492</v>
      </c>
      <c r="E53" s="29" t="s">
        <v>20</v>
      </c>
      <c r="H53" s="40"/>
      <c r="I53" s="40"/>
      <c r="J53" s="40"/>
      <c r="K53" s="40"/>
      <c r="L53" s="40"/>
      <c r="M53" s="40"/>
      <c r="N53" s="40"/>
      <c r="O53" s="40">
        <f>+$D53</f>
        <v>3800310.2441628492</v>
      </c>
      <c r="P53" s="40">
        <f>+O53-P52</f>
        <v>3702866.3917484172</v>
      </c>
      <c r="Q53" s="40">
        <f t="shared" ref="Q53:AW53" si="32">+P53-Q52</f>
        <v>3605422.5393339852</v>
      </c>
      <c r="R53" s="40">
        <f t="shared" si="32"/>
        <v>3507978.6869195532</v>
      </c>
      <c r="S53" s="40">
        <f t="shared" si="32"/>
        <v>3410534.8345051212</v>
      </c>
      <c r="T53" s="40">
        <f t="shared" si="32"/>
        <v>3313090.9820906892</v>
      </c>
      <c r="U53" s="40">
        <f t="shared" si="32"/>
        <v>3215647.1296762573</v>
      </c>
      <c r="V53" s="40">
        <f t="shared" si="32"/>
        <v>3118203.2772618253</v>
      </c>
      <c r="W53" s="40">
        <f t="shared" si="32"/>
        <v>3020759.4248473933</v>
      </c>
      <c r="X53" s="40">
        <f t="shared" si="32"/>
        <v>2923315.5724329613</v>
      </c>
      <c r="Y53" s="40">
        <f t="shared" si="32"/>
        <v>2825871.7200185293</v>
      </c>
      <c r="Z53" s="40">
        <f t="shared" si="32"/>
        <v>2728427.8676040974</v>
      </c>
      <c r="AA53" s="40">
        <f t="shared" si="32"/>
        <v>2630984.0151896654</v>
      </c>
      <c r="AB53" s="40">
        <f t="shared" si="32"/>
        <v>2533540.1627752334</v>
      </c>
      <c r="AC53" s="40">
        <f t="shared" si="32"/>
        <v>2436096.3103608014</v>
      </c>
      <c r="AD53" s="40">
        <f t="shared" si="32"/>
        <v>2338652.4579463694</v>
      </c>
      <c r="AE53" s="40">
        <f t="shared" si="32"/>
        <v>2241208.6055319374</v>
      </c>
      <c r="AF53" s="40">
        <f t="shared" si="32"/>
        <v>2143764.7531175055</v>
      </c>
      <c r="AG53" s="40">
        <f t="shared" si="32"/>
        <v>2046320.9007030735</v>
      </c>
      <c r="AH53" s="40">
        <f t="shared" si="32"/>
        <v>1948877.0482886415</v>
      </c>
      <c r="AI53" s="40">
        <f t="shared" si="32"/>
        <v>1851433.1958742095</v>
      </c>
      <c r="AJ53" s="40">
        <f t="shared" si="32"/>
        <v>1753989.3434597775</v>
      </c>
      <c r="AK53" s="40">
        <f t="shared" si="32"/>
        <v>1656545.4910453456</v>
      </c>
      <c r="AL53" s="40">
        <f t="shared" si="32"/>
        <v>1559101.6386309136</v>
      </c>
      <c r="AM53" s="40">
        <f t="shared" si="32"/>
        <v>1461657.7862164816</v>
      </c>
      <c r="AN53" s="40">
        <f t="shared" si="32"/>
        <v>1364213.9338020496</v>
      </c>
      <c r="AO53" s="40">
        <f t="shared" si="32"/>
        <v>1266770.0813876176</v>
      </c>
      <c r="AP53" s="40">
        <f t="shared" si="32"/>
        <v>1169326.2289731856</v>
      </c>
      <c r="AQ53" s="40">
        <f t="shared" si="32"/>
        <v>1071882.3765587537</v>
      </c>
      <c r="AR53" s="40">
        <f t="shared" si="32"/>
        <v>974438.52414432168</v>
      </c>
      <c r="AS53" s="40">
        <f t="shared" si="32"/>
        <v>876994.6717298897</v>
      </c>
      <c r="AT53" s="40">
        <f t="shared" si="32"/>
        <v>779550.81931545772</v>
      </c>
      <c r="AU53" s="40">
        <f t="shared" si="32"/>
        <v>682106.96690102573</v>
      </c>
      <c r="AV53" s="40">
        <f t="shared" si="32"/>
        <v>584663.11448659375</v>
      </c>
      <c r="AW53" s="40">
        <f t="shared" si="32"/>
        <v>487219.26207216171</v>
      </c>
    </row>
    <row r="54" spans="1:49" ht="8.1" customHeight="1" x14ac:dyDescent="0.2">
      <c r="D54" s="39"/>
      <c r="H54" s="40"/>
      <c r="I54" s="40"/>
      <c r="J54" s="40"/>
      <c r="K54" s="40"/>
      <c r="L54" s="40"/>
      <c r="M54" s="40"/>
      <c r="N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</row>
    <row r="55" spans="1:49" x14ac:dyDescent="0.2">
      <c r="B55" s="27">
        <f>+B52</f>
        <v>1</v>
      </c>
      <c r="C55" s="28">
        <f>+$D$7</f>
        <v>39</v>
      </c>
      <c r="D55" s="27">
        <f>+D52+1</f>
        <v>11</v>
      </c>
      <c r="E55" s="29" t="s">
        <v>27</v>
      </c>
      <c r="I55" s="35"/>
      <c r="J55" s="35"/>
      <c r="K55" s="35"/>
      <c r="L55" s="35"/>
      <c r="M55" s="35"/>
      <c r="N55" s="35"/>
      <c r="P55" s="29">
        <v>0</v>
      </c>
      <c r="Q55" s="35">
        <f>+$D56/$C55</f>
        <v>100367.167986865</v>
      </c>
      <c r="R55" s="35">
        <f t="shared" ref="R55:AW55" si="33">+$D56/$C55</f>
        <v>100367.167986865</v>
      </c>
      <c r="S55" s="35">
        <f t="shared" si="33"/>
        <v>100367.167986865</v>
      </c>
      <c r="T55" s="35">
        <f t="shared" si="33"/>
        <v>100367.167986865</v>
      </c>
      <c r="U55" s="35">
        <f t="shared" si="33"/>
        <v>100367.167986865</v>
      </c>
      <c r="V55" s="35">
        <f t="shared" si="33"/>
        <v>100367.167986865</v>
      </c>
      <c r="W55" s="35">
        <f t="shared" si="33"/>
        <v>100367.167986865</v>
      </c>
      <c r="X55" s="35">
        <f t="shared" si="33"/>
        <v>100367.167986865</v>
      </c>
      <c r="Y55" s="35">
        <f t="shared" si="33"/>
        <v>100367.167986865</v>
      </c>
      <c r="Z55" s="35">
        <f t="shared" si="33"/>
        <v>100367.167986865</v>
      </c>
      <c r="AA55" s="35">
        <f t="shared" si="33"/>
        <v>100367.167986865</v>
      </c>
      <c r="AB55" s="35">
        <f t="shared" si="33"/>
        <v>100367.167986865</v>
      </c>
      <c r="AC55" s="35">
        <f t="shared" si="33"/>
        <v>100367.167986865</v>
      </c>
      <c r="AD55" s="35">
        <f t="shared" si="33"/>
        <v>100367.167986865</v>
      </c>
      <c r="AE55" s="35">
        <f t="shared" si="33"/>
        <v>100367.167986865</v>
      </c>
      <c r="AF55" s="35">
        <f t="shared" si="33"/>
        <v>100367.167986865</v>
      </c>
      <c r="AG55" s="35">
        <f t="shared" si="33"/>
        <v>100367.167986865</v>
      </c>
      <c r="AH55" s="35">
        <f t="shared" si="33"/>
        <v>100367.167986865</v>
      </c>
      <c r="AI55" s="35">
        <f t="shared" si="33"/>
        <v>100367.167986865</v>
      </c>
      <c r="AJ55" s="35">
        <f t="shared" si="33"/>
        <v>100367.167986865</v>
      </c>
      <c r="AK55" s="35">
        <f t="shared" si="33"/>
        <v>100367.167986865</v>
      </c>
      <c r="AL55" s="35">
        <f t="shared" si="33"/>
        <v>100367.167986865</v>
      </c>
      <c r="AM55" s="35">
        <f t="shared" si="33"/>
        <v>100367.167986865</v>
      </c>
      <c r="AN55" s="35">
        <f t="shared" si="33"/>
        <v>100367.167986865</v>
      </c>
      <c r="AO55" s="35">
        <f t="shared" si="33"/>
        <v>100367.167986865</v>
      </c>
      <c r="AP55" s="35">
        <f t="shared" si="33"/>
        <v>100367.167986865</v>
      </c>
      <c r="AQ55" s="35">
        <f t="shared" si="33"/>
        <v>100367.167986865</v>
      </c>
      <c r="AR55" s="35">
        <f t="shared" si="33"/>
        <v>100367.167986865</v>
      </c>
      <c r="AS55" s="35">
        <f t="shared" si="33"/>
        <v>100367.167986865</v>
      </c>
      <c r="AT55" s="35">
        <f t="shared" si="33"/>
        <v>100367.167986865</v>
      </c>
      <c r="AU55" s="35">
        <f t="shared" si="33"/>
        <v>100367.167986865</v>
      </c>
      <c r="AV55" s="35">
        <f t="shared" si="33"/>
        <v>100367.167986865</v>
      </c>
      <c r="AW55" s="35">
        <f t="shared" si="33"/>
        <v>100367.167986865</v>
      </c>
    </row>
    <row r="56" spans="1:49" x14ac:dyDescent="0.2">
      <c r="A56" s="27">
        <f>+A53</f>
        <v>1</v>
      </c>
      <c r="D56" s="39">
        <f>HLOOKUP(D55,$F$3:$AW$7,5)</f>
        <v>3914319.5514877345</v>
      </c>
      <c r="E56" s="29" t="s">
        <v>20</v>
      </c>
      <c r="H56" s="40"/>
      <c r="I56" s="40"/>
      <c r="J56" s="40"/>
      <c r="K56" s="40"/>
      <c r="L56" s="40"/>
      <c r="M56" s="40"/>
      <c r="N56" s="40"/>
      <c r="P56" s="40">
        <f>+$D56</f>
        <v>3914319.5514877345</v>
      </c>
      <c r="Q56" s="40">
        <f>+P56-Q55</f>
        <v>3813952.3835008694</v>
      </c>
      <c r="R56" s="40">
        <f t="shared" ref="R56:AW56" si="34">+Q56-R55</f>
        <v>3713585.2155140042</v>
      </c>
      <c r="S56" s="40">
        <f t="shared" si="34"/>
        <v>3613218.0475271391</v>
      </c>
      <c r="T56" s="40">
        <f t="shared" si="34"/>
        <v>3512850.8795402739</v>
      </c>
      <c r="U56" s="40">
        <f t="shared" si="34"/>
        <v>3412483.7115534088</v>
      </c>
      <c r="V56" s="40">
        <f t="shared" si="34"/>
        <v>3312116.5435665436</v>
      </c>
      <c r="W56" s="40">
        <f t="shared" si="34"/>
        <v>3211749.3755796785</v>
      </c>
      <c r="X56" s="40">
        <f t="shared" si="34"/>
        <v>3111382.2075928133</v>
      </c>
      <c r="Y56" s="40">
        <f t="shared" si="34"/>
        <v>3011015.0396059481</v>
      </c>
      <c r="Z56" s="40">
        <f t="shared" si="34"/>
        <v>2910647.871619083</v>
      </c>
      <c r="AA56" s="40">
        <f t="shared" si="34"/>
        <v>2810280.7036322178</v>
      </c>
      <c r="AB56" s="40">
        <f t="shared" si="34"/>
        <v>2709913.5356453527</v>
      </c>
      <c r="AC56" s="40">
        <f t="shared" si="34"/>
        <v>2609546.3676584875</v>
      </c>
      <c r="AD56" s="40">
        <f t="shared" si="34"/>
        <v>2509179.1996716224</v>
      </c>
      <c r="AE56" s="40">
        <f t="shared" si="34"/>
        <v>2408812.0316847572</v>
      </c>
      <c r="AF56" s="40">
        <f t="shared" si="34"/>
        <v>2308444.8636978921</v>
      </c>
      <c r="AG56" s="40">
        <f t="shared" si="34"/>
        <v>2208077.6957110269</v>
      </c>
      <c r="AH56" s="40">
        <f t="shared" si="34"/>
        <v>2107710.5277241617</v>
      </c>
      <c r="AI56" s="40">
        <f t="shared" si="34"/>
        <v>2007343.3597372968</v>
      </c>
      <c r="AJ56" s="40">
        <f t="shared" si="34"/>
        <v>1906976.1917504319</v>
      </c>
      <c r="AK56" s="40">
        <f t="shared" si="34"/>
        <v>1806609.023763567</v>
      </c>
      <c r="AL56" s="40">
        <f t="shared" si="34"/>
        <v>1706241.8557767021</v>
      </c>
      <c r="AM56" s="40">
        <f t="shared" si="34"/>
        <v>1605874.6877898371</v>
      </c>
      <c r="AN56" s="40">
        <f t="shared" si="34"/>
        <v>1505507.5198029722</v>
      </c>
      <c r="AO56" s="40">
        <f t="shared" si="34"/>
        <v>1405140.3518161073</v>
      </c>
      <c r="AP56" s="40">
        <f t="shared" si="34"/>
        <v>1304773.1838292424</v>
      </c>
      <c r="AQ56" s="40">
        <f t="shared" si="34"/>
        <v>1204406.0158423774</v>
      </c>
      <c r="AR56" s="40">
        <f t="shared" si="34"/>
        <v>1104038.8478555125</v>
      </c>
      <c r="AS56" s="40">
        <f t="shared" si="34"/>
        <v>1003671.6798686475</v>
      </c>
      <c r="AT56" s="40">
        <f t="shared" si="34"/>
        <v>903304.51188178244</v>
      </c>
      <c r="AU56" s="40">
        <f t="shared" si="34"/>
        <v>802937.3438949174</v>
      </c>
      <c r="AV56" s="40">
        <f t="shared" si="34"/>
        <v>702570.17590805236</v>
      </c>
      <c r="AW56" s="40">
        <f t="shared" si="34"/>
        <v>602203.00792118732</v>
      </c>
    </row>
    <row r="57" spans="1:49" ht="8.1" customHeight="1" x14ac:dyDescent="0.2">
      <c r="D57" s="39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9" x14ac:dyDescent="0.2">
      <c r="B58" s="27">
        <f>+B55</f>
        <v>1</v>
      </c>
      <c r="C58" s="28">
        <f>+$D$7</f>
        <v>39</v>
      </c>
      <c r="D58" s="27">
        <f>+D55+1</f>
        <v>12</v>
      </c>
      <c r="E58" s="29" t="s">
        <v>27</v>
      </c>
      <c r="I58" s="35"/>
      <c r="J58" s="35"/>
      <c r="K58" s="35"/>
      <c r="L58" s="35"/>
      <c r="M58" s="35"/>
      <c r="N58" s="35"/>
      <c r="O58" s="35"/>
      <c r="P58" s="35"/>
      <c r="Q58" s="29">
        <v>0</v>
      </c>
      <c r="R58" s="35">
        <f>+$D59/$C58</f>
        <v>103378.18302647094</v>
      </c>
      <c r="S58" s="35">
        <f t="shared" ref="S58:AW58" si="35">+$D59/$C58</f>
        <v>103378.18302647094</v>
      </c>
      <c r="T58" s="35">
        <f t="shared" si="35"/>
        <v>103378.18302647094</v>
      </c>
      <c r="U58" s="35">
        <f t="shared" si="35"/>
        <v>103378.18302647094</v>
      </c>
      <c r="V58" s="35">
        <f t="shared" si="35"/>
        <v>103378.18302647094</v>
      </c>
      <c r="W58" s="35">
        <f t="shared" si="35"/>
        <v>103378.18302647094</v>
      </c>
      <c r="X58" s="35">
        <f t="shared" si="35"/>
        <v>103378.18302647094</v>
      </c>
      <c r="Y58" s="35">
        <f t="shared" si="35"/>
        <v>103378.18302647094</v>
      </c>
      <c r="Z58" s="35">
        <f t="shared" si="35"/>
        <v>103378.18302647094</v>
      </c>
      <c r="AA58" s="35">
        <f t="shared" si="35"/>
        <v>103378.18302647094</v>
      </c>
      <c r="AB58" s="35">
        <f t="shared" si="35"/>
        <v>103378.18302647094</v>
      </c>
      <c r="AC58" s="35">
        <f t="shared" si="35"/>
        <v>103378.18302647094</v>
      </c>
      <c r="AD58" s="35">
        <f t="shared" si="35"/>
        <v>103378.18302647094</v>
      </c>
      <c r="AE58" s="35">
        <f t="shared" si="35"/>
        <v>103378.18302647094</v>
      </c>
      <c r="AF58" s="35">
        <f t="shared" si="35"/>
        <v>103378.18302647094</v>
      </c>
      <c r="AG58" s="35">
        <f t="shared" si="35"/>
        <v>103378.18302647094</v>
      </c>
      <c r="AH58" s="35">
        <f t="shared" si="35"/>
        <v>103378.18302647094</v>
      </c>
      <c r="AI58" s="35">
        <f t="shared" si="35"/>
        <v>103378.18302647094</v>
      </c>
      <c r="AJ58" s="35">
        <f t="shared" si="35"/>
        <v>103378.18302647094</v>
      </c>
      <c r="AK58" s="35">
        <f t="shared" si="35"/>
        <v>103378.18302647094</v>
      </c>
      <c r="AL58" s="35">
        <f t="shared" si="35"/>
        <v>103378.18302647094</v>
      </c>
      <c r="AM58" s="35">
        <f t="shared" si="35"/>
        <v>103378.18302647094</v>
      </c>
      <c r="AN58" s="35">
        <f t="shared" si="35"/>
        <v>103378.18302647094</v>
      </c>
      <c r="AO58" s="35">
        <f t="shared" si="35"/>
        <v>103378.18302647094</v>
      </c>
      <c r="AP58" s="35">
        <f t="shared" si="35"/>
        <v>103378.18302647094</v>
      </c>
      <c r="AQ58" s="35">
        <f t="shared" si="35"/>
        <v>103378.18302647094</v>
      </c>
      <c r="AR58" s="35">
        <f t="shared" si="35"/>
        <v>103378.18302647094</v>
      </c>
      <c r="AS58" s="35">
        <f t="shared" si="35"/>
        <v>103378.18302647094</v>
      </c>
      <c r="AT58" s="35">
        <f t="shared" si="35"/>
        <v>103378.18302647094</v>
      </c>
      <c r="AU58" s="35">
        <f t="shared" si="35"/>
        <v>103378.18302647094</v>
      </c>
      <c r="AV58" s="35">
        <f t="shared" si="35"/>
        <v>103378.18302647094</v>
      </c>
      <c r="AW58" s="35">
        <f t="shared" si="35"/>
        <v>103378.18302647094</v>
      </c>
    </row>
    <row r="59" spans="1:49" x14ac:dyDescent="0.2">
      <c r="A59" s="27">
        <f>+A56</f>
        <v>1</v>
      </c>
      <c r="D59" s="39">
        <f>HLOOKUP(D58,$F$3:$AW$7,5)</f>
        <v>4031749.1380323665</v>
      </c>
      <c r="E59" s="29" t="s">
        <v>20</v>
      </c>
      <c r="H59" s="40"/>
      <c r="I59" s="40"/>
      <c r="J59" s="40"/>
      <c r="K59" s="40"/>
      <c r="L59" s="40"/>
      <c r="M59" s="40"/>
      <c r="N59" s="40"/>
      <c r="O59" s="40"/>
      <c r="P59" s="40"/>
      <c r="Q59" s="40">
        <f>+$D59</f>
        <v>4031749.1380323665</v>
      </c>
      <c r="R59" s="40">
        <f>+Q59-R58</f>
        <v>3928370.9550058953</v>
      </c>
      <c r="S59" s="40">
        <f t="shared" ref="S59:AW59" si="36">+R59-S58</f>
        <v>3824992.7719794242</v>
      </c>
      <c r="T59" s="40">
        <f t="shared" si="36"/>
        <v>3721614.588952953</v>
      </c>
      <c r="U59" s="40">
        <f t="shared" si="36"/>
        <v>3618236.4059264818</v>
      </c>
      <c r="V59" s="40">
        <f t="shared" si="36"/>
        <v>3514858.2229000106</v>
      </c>
      <c r="W59" s="40">
        <f t="shared" si="36"/>
        <v>3411480.0398735395</v>
      </c>
      <c r="X59" s="40">
        <f t="shared" si="36"/>
        <v>3308101.8568470683</v>
      </c>
      <c r="Y59" s="40">
        <f t="shared" si="36"/>
        <v>3204723.6738205971</v>
      </c>
      <c r="Z59" s="40">
        <f t="shared" si="36"/>
        <v>3101345.4907941259</v>
      </c>
      <c r="AA59" s="40">
        <f t="shared" si="36"/>
        <v>2997967.3077676548</v>
      </c>
      <c r="AB59" s="40">
        <f t="shared" si="36"/>
        <v>2894589.1247411836</v>
      </c>
      <c r="AC59" s="40">
        <f t="shared" si="36"/>
        <v>2791210.9417147124</v>
      </c>
      <c r="AD59" s="40">
        <f t="shared" si="36"/>
        <v>2687832.7586882412</v>
      </c>
      <c r="AE59" s="40">
        <f t="shared" si="36"/>
        <v>2584454.5756617701</v>
      </c>
      <c r="AF59" s="40">
        <f t="shared" si="36"/>
        <v>2481076.3926352989</v>
      </c>
      <c r="AG59" s="40">
        <f t="shared" si="36"/>
        <v>2377698.2096088277</v>
      </c>
      <c r="AH59" s="40">
        <f t="shared" si="36"/>
        <v>2274320.0265823565</v>
      </c>
      <c r="AI59" s="40">
        <f t="shared" si="36"/>
        <v>2170941.8435558854</v>
      </c>
      <c r="AJ59" s="40">
        <f t="shared" si="36"/>
        <v>2067563.6605294144</v>
      </c>
      <c r="AK59" s="40">
        <f t="shared" si="36"/>
        <v>1964185.4775029435</v>
      </c>
      <c r="AL59" s="40">
        <f t="shared" si="36"/>
        <v>1860807.2944764725</v>
      </c>
      <c r="AM59" s="40">
        <f t="shared" si="36"/>
        <v>1757429.1114500016</v>
      </c>
      <c r="AN59" s="40">
        <f t="shared" si="36"/>
        <v>1654050.9284235307</v>
      </c>
      <c r="AO59" s="40">
        <f t="shared" si="36"/>
        <v>1550672.7453970597</v>
      </c>
      <c r="AP59" s="40">
        <f t="shared" si="36"/>
        <v>1447294.5623705888</v>
      </c>
      <c r="AQ59" s="40">
        <f t="shared" si="36"/>
        <v>1343916.3793441178</v>
      </c>
      <c r="AR59" s="40">
        <f t="shared" si="36"/>
        <v>1240538.1963176469</v>
      </c>
      <c r="AS59" s="40">
        <f t="shared" si="36"/>
        <v>1137160.0132911759</v>
      </c>
      <c r="AT59" s="40">
        <f t="shared" si="36"/>
        <v>1033781.830264705</v>
      </c>
      <c r="AU59" s="40">
        <f t="shared" si="36"/>
        <v>930403.64723823406</v>
      </c>
      <c r="AV59" s="40">
        <f t="shared" si="36"/>
        <v>827025.46421176312</v>
      </c>
      <c r="AW59" s="40">
        <f t="shared" si="36"/>
        <v>723647.28118529217</v>
      </c>
    </row>
    <row r="60" spans="1:49" ht="8.1" customHeight="1" x14ac:dyDescent="0.2">
      <c r="D60" s="3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</row>
    <row r="61" spans="1:49" x14ac:dyDescent="0.2">
      <c r="B61" s="27">
        <f>+B58</f>
        <v>1</v>
      </c>
      <c r="C61" s="28">
        <f>+$D$7</f>
        <v>39</v>
      </c>
      <c r="D61" s="27">
        <f>+D58+1</f>
        <v>13</v>
      </c>
      <c r="E61" s="29" t="s">
        <v>27</v>
      </c>
      <c r="I61" s="35"/>
      <c r="J61" s="35"/>
      <c r="K61" s="35"/>
      <c r="L61" s="35"/>
      <c r="M61" s="35"/>
      <c r="N61" s="35"/>
      <c r="O61" s="35"/>
      <c r="P61" s="35"/>
      <c r="R61" s="29">
        <v>0</v>
      </c>
      <c r="S61" s="35">
        <f>+$D62/$C61</f>
        <v>106479.52851726506</v>
      </c>
      <c r="T61" s="35">
        <f t="shared" ref="T61:AW61" si="37">+$D62/$C61</f>
        <v>106479.52851726506</v>
      </c>
      <c r="U61" s="35">
        <f t="shared" si="37"/>
        <v>106479.52851726506</v>
      </c>
      <c r="V61" s="35">
        <f t="shared" si="37"/>
        <v>106479.52851726506</v>
      </c>
      <c r="W61" s="35">
        <f t="shared" si="37"/>
        <v>106479.52851726506</v>
      </c>
      <c r="X61" s="35">
        <f t="shared" si="37"/>
        <v>106479.52851726506</v>
      </c>
      <c r="Y61" s="35">
        <f t="shared" si="37"/>
        <v>106479.52851726506</v>
      </c>
      <c r="Z61" s="35">
        <f t="shared" si="37"/>
        <v>106479.52851726506</v>
      </c>
      <c r="AA61" s="35">
        <f t="shared" si="37"/>
        <v>106479.52851726506</v>
      </c>
      <c r="AB61" s="35">
        <f t="shared" si="37"/>
        <v>106479.52851726506</v>
      </c>
      <c r="AC61" s="35">
        <f t="shared" si="37"/>
        <v>106479.52851726506</v>
      </c>
      <c r="AD61" s="35">
        <f t="shared" si="37"/>
        <v>106479.52851726506</v>
      </c>
      <c r="AE61" s="35">
        <f t="shared" si="37"/>
        <v>106479.52851726506</v>
      </c>
      <c r="AF61" s="35">
        <f t="shared" si="37"/>
        <v>106479.52851726506</v>
      </c>
      <c r="AG61" s="35">
        <f t="shared" si="37"/>
        <v>106479.52851726506</v>
      </c>
      <c r="AH61" s="35">
        <f t="shared" si="37"/>
        <v>106479.52851726506</v>
      </c>
      <c r="AI61" s="35">
        <f t="shared" si="37"/>
        <v>106479.52851726506</v>
      </c>
      <c r="AJ61" s="35">
        <f t="shared" si="37"/>
        <v>106479.52851726506</v>
      </c>
      <c r="AK61" s="35">
        <f t="shared" si="37"/>
        <v>106479.52851726506</v>
      </c>
      <c r="AL61" s="35">
        <f t="shared" si="37"/>
        <v>106479.52851726506</v>
      </c>
      <c r="AM61" s="35">
        <f t="shared" si="37"/>
        <v>106479.52851726506</v>
      </c>
      <c r="AN61" s="35">
        <f t="shared" si="37"/>
        <v>106479.52851726506</v>
      </c>
      <c r="AO61" s="35">
        <f t="shared" si="37"/>
        <v>106479.52851726506</v>
      </c>
      <c r="AP61" s="35">
        <f t="shared" si="37"/>
        <v>106479.52851726506</v>
      </c>
      <c r="AQ61" s="35">
        <f t="shared" si="37"/>
        <v>106479.52851726506</v>
      </c>
      <c r="AR61" s="35">
        <f t="shared" si="37"/>
        <v>106479.52851726506</v>
      </c>
      <c r="AS61" s="35">
        <f t="shared" si="37"/>
        <v>106479.52851726506</v>
      </c>
      <c r="AT61" s="35">
        <f t="shared" si="37"/>
        <v>106479.52851726506</v>
      </c>
      <c r="AU61" s="35">
        <f t="shared" si="37"/>
        <v>106479.52851726506</v>
      </c>
      <c r="AV61" s="35">
        <f t="shared" si="37"/>
        <v>106479.52851726506</v>
      </c>
      <c r="AW61" s="35">
        <f t="shared" si="37"/>
        <v>106479.52851726506</v>
      </c>
    </row>
    <row r="62" spans="1:49" x14ac:dyDescent="0.2">
      <c r="A62" s="27">
        <f>+A59</f>
        <v>1</v>
      </c>
      <c r="D62" s="39">
        <f>HLOOKUP(D61,$F$3:$AW$7,5)</f>
        <v>4152701.6121733375</v>
      </c>
      <c r="E62" s="29" t="s">
        <v>20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>
        <f>+$D62</f>
        <v>4152701.6121733375</v>
      </c>
      <c r="S62" s="40">
        <f>+R62-S61</f>
        <v>4046222.0836560726</v>
      </c>
      <c r="T62" s="40">
        <f t="shared" ref="T62:AW62" si="38">+S62-T61</f>
        <v>3939742.5551388077</v>
      </c>
      <c r="U62" s="40">
        <f t="shared" si="38"/>
        <v>3833263.0266215429</v>
      </c>
      <c r="V62" s="40">
        <f t="shared" si="38"/>
        <v>3726783.498104278</v>
      </c>
      <c r="W62" s="40">
        <f t="shared" si="38"/>
        <v>3620303.9695870131</v>
      </c>
      <c r="X62" s="40">
        <f t="shared" si="38"/>
        <v>3513824.4410697483</v>
      </c>
      <c r="Y62" s="40">
        <f t="shared" si="38"/>
        <v>3407344.9125524834</v>
      </c>
      <c r="Z62" s="40">
        <f t="shared" si="38"/>
        <v>3300865.3840352185</v>
      </c>
      <c r="AA62" s="40">
        <f t="shared" si="38"/>
        <v>3194385.8555179536</v>
      </c>
      <c r="AB62" s="40">
        <f t="shared" si="38"/>
        <v>3087906.3270006888</v>
      </c>
      <c r="AC62" s="40">
        <f t="shared" si="38"/>
        <v>2981426.7984834239</v>
      </c>
      <c r="AD62" s="40">
        <f t="shared" si="38"/>
        <v>2874947.269966159</v>
      </c>
      <c r="AE62" s="40">
        <f t="shared" si="38"/>
        <v>2768467.7414488941</v>
      </c>
      <c r="AF62" s="40">
        <f t="shared" si="38"/>
        <v>2661988.2129316293</v>
      </c>
      <c r="AG62" s="40">
        <f t="shared" si="38"/>
        <v>2555508.6844143644</v>
      </c>
      <c r="AH62" s="40">
        <f t="shared" si="38"/>
        <v>2449029.1558970995</v>
      </c>
      <c r="AI62" s="40">
        <f t="shared" si="38"/>
        <v>2342549.6273798347</v>
      </c>
      <c r="AJ62" s="40">
        <f t="shared" si="38"/>
        <v>2236070.0988625698</v>
      </c>
      <c r="AK62" s="40">
        <f t="shared" si="38"/>
        <v>2129590.5703453049</v>
      </c>
      <c r="AL62" s="40">
        <f t="shared" si="38"/>
        <v>2023111.0418280398</v>
      </c>
      <c r="AM62" s="40">
        <f t="shared" si="38"/>
        <v>1916631.5133107747</v>
      </c>
      <c r="AN62" s="40">
        <f t="shared" si="38"/>
        <v>1810151.9847935096</v>
      </c>
      <c r="AO62" s="40">
        <f t="shared" si="38"/>
        <v>1703672.4562762445</v>
      </c>
      <c r="AP62" s="40">
        <f t="shared" si="38"/>
        <v>1597192.9277589794</v>
      </c>
      <c r="AQ62" s="40">
        <f t="shared" si="38"/>
        <v>1490713.3992417143</v>
      </c>
      <c r="AR62" s="40">
        <f t="shared" si="38"/>
        <v>1384233.8707244492</v>
      </c>
      <c r="AS62" s="40">
        <f t="shared" si="38"/>
        <v>1277754.3422071841</v>
      </c>
      <c r="AT62" s="40">
        <f t="shared" si="38"/>
        <v>1171274.813689919</v>
      </c>
      <c r="AU62" s="40">
        <f t="shared" si="38"/>
        <v>1064795.2851726539</v>
      </c>
      <c r="AV62" s="40">
        <f t="shared" si="38"/>
        <v>958315.75665538874</v>
      </c>
      <c r="AW62" s="40">
        <f t="shared" si="38"/>
        <v>851836.22813812364</v>
      </c>
    </row>
    <row r="63" spans="1:49" ht="8.1" customHeight="1" x14ac:dyDescent="0.2">
      <c r="D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</row>
    <row r="64" spans="1:49" x14ac:dyDescent="0.2">
      <c r="B64" s="27">
        <f>+B61</f>
        <v>1</v>
      </c>
      <c r="C64" s="28">
        <f>+$D$7</f>
        <v>39</v>
      </c>
      <c r="D64" s="27">
        <f>+D61+1</f>
        <v>14</v>
      </c>
      <c r="E64" s="29" t="s">
        <v>27</v>
      </c>
      <c r="I64" s="35"/>
      <c r="J64" s="35"/>
      <c r="K64" s="35"/>
      <c r="L64" s="35"/>
      <c r="M64" s="35"/>
      <c r="N64" s="35"/>
      <c r="O64" s="35"/>
      <c r="P64" s="35"/>
      <c r="S64" s="29">
        <v>0</v>
      </c>
      <c r="T64" s="35">
        <f>+$D65/$C64</f>
        <v>109673.91437278301</v>
      </c>
      <c r="U64" s="35">
        <f t="shared" ref="U64:AW64" si="39">+$D65/$C64</f>
        <v>109673.91437278301</v>
      </c>
      <c r="V64" s="35">
        <f t="shared" si="39"/>
        <v>109673.91437278301</v>
      </c>
      <c r="W64" s="35">
        <f t="shared" si="39"/>
        <v>109673.91437278301</v>
      </c>
      <c r="X64" s="35">
        <f t="shared" si="39"/>
        <v>109673.91437278301</v>
      </c>
      <c r="Y64" s="35">
        <f t="shared" si="39"/>
        <v>109673.91437278301</v>
      </c>
      <c r="Z64" s="35">
        <f t="shared" si="39"/>
        <v>109673.91437278301</v>
      </c>
      <c r="AA64" s="35">
        <f t="shared" si="39"/>
        <v>109673.91437278301</v>
      </c>
      <c r="AB64" s="35">
        <f t="shared" si="39"/>
        <v>109673.91437278301</v>
      </c>
      <c r="AC64" s="35">
        <f t="shared" si="39"/>
        <v>109673.91437278301</v>
      </c>
      <c r="AD64" s="35">
        <f t="shared" si="39"/>
        <v>109673.91437278301</v>
      </c>
      <c r="AE64" s="35">
        <f t="shared" si="39"/>
        <v>109673.91437278301</v>
      </c>
      <c r="AF64" s="35">
        <f t="shared" si="39"/>
        <v>109673.91437278301</v>
      </c>
      <c r="AG64" s="35">
        <f t="shared" si="39"/>
        <v>109673.91437278301</v>
      </c>
      <c r="AH64" s="35">
        <f t="shared" si="39"/>
        <v>109673.91437278301</v>
      </c>
      <c r="AI64" s="35">
        <f t="shared" si="39"/>
        <v>109673.91437278301</v>
      </c>
      <c r="AJ64" s="35">
        <f t="shared" si="39"/>
        <v>109673.91437278301</v>
      </c>
      <c r="AK64" s="35">
        <f t="shared" si="39"/>
        <v>109673.91437278301</v>
      </c>
      <c r="AL64" s="35">
        <f t="shared" si="39"/>
        <v>109673.91437278301</v>
      </c>
      <c r="AM64" s="35">
        <f t="shared" si="39"/>
        <v>109673.91437278301</v>
      </c>
      <c r="AN64" s="35">
        <f t="shared" si="39"/>
        <v>109673.91437278301</v>
      </c>
      <c r="AO64" s="35">
        <f t="shared" si="39"/>
        <v>109673.91437278301</v>
      </c>
      <c r="AP64" s="35">
        <f t="shared" si="39"/>
        <v>109673.91437278301</v>
      </c>
      <c r="AQ64" s="35">
        <f t="shared" si="39"/>
        <v>109673.91437278301</v>
      </c>
      <c r="AR64" s="35">
        <f t="shared" si="39"/>
        <v>109673.91437278301</v>
      </c>
      <c r="AS64" s="35">
        <f t="shared" si="39"/>
        <v>109673.91437278301</v>
      </c>
      <c r="AT64" s="35">
        <f t="shared" si="39"/>
        <v>109673.91437278301</v>
      </c>
      <c r="AU64" s="35">
        <f t="shared" si="39"/>
        <v>109673.91437278301</v>
      </c>
      <c r="AV64" s="35">
        <f t="shared" si="39"/>
        <v>109673.91437278301</v>
      </c>
      <c r="AW64" s="35">
        <f t="shared" si="39"/>
        <v>109673.91437278301</v>
      </c>
    </row>
    <row r="65" spans="1:49" x14ac:dyDescent="0.2">
      <c r="A65" s="27">
        <f>+A62</f>
        <v>1</v>
      </c>
      <c r="D65" s="39">
        <f>HLOOKUP(D64,$F$3:$AW$7,5)</f>
        <v>4277282.6605385374</v>
      </c>
      <c r="E65" s="29" t="s">
        <v>20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S65" s="40">
        <f>+$D65</f>
        <v>4277282.6605385374</v>
      </c>
      <c r="T65" s="40">
        <f>+S65-T64</f>
        <v>4167608.7461657543</v>
      </c>
      <c r="U65" s="40">
        <f t="shared" ref="U65:AW65" si="40">+T65-U64</f>
        <v>4057934.8317929711</v>
      </c>
      <c r="V65" s="40">
        <f t="shared" si="40"/>
        <v>3948260.917420188</v>
      </c>
      <c r="W65" s="40">
        <f t="shared" si="40"/>
        <v>3838587.0030474048</v>
      </c>
      <c r="X65" s="40">
        <f t="shared" si="40"/>
        <v>3728913.0886746217</v>
      </c>
      <c r="Y65" s="40">
        <f t="shared" si="40"/>
        <v>3619239.1743018385</v>
      </c>
      <c r="Z65" s="40">
        <f t="shared" si="40"/>
        <v>3509565.2599290553</v>
      </c>
      <c r="AA65" s="40">
        <f t="shared" si="40"/>
        <v>3399891.3455562722</v>
      </c>
      <c r="AB65" s="40">
        <f t="shared" si="40"/>
        <v>3290217.431183489</v>
      </c>
      <c r="AC65" s="40">
        <f t="shared" si="40"/>
        <v>3180543.5168107059</v>
      </c>
      <c r="AD65" s="40">
        <f t="shared" si="40"/>
        <v>3070869.6024379227</v>
      </c>
      <c r="AE65" s="40">
        <f t="shared" si="40"/>
        <v>2961195.6880651396</v>
      </c>
      <c r="AF65" s="40">
        <f t="shared" si="40"/>
        <v>2851521.7736923564</v>
      </c>
      <c r="AG65" s="40">
        <f t="shared" si="40"/>
        <v>2741847.8593195733</v>
      </c>
      <c r="AH65" s="40">
        <f t="shared" si="40"/>
        <v>2632173.9449467901</v>
      </c>
      <c r="AI65" s="40">
        <f t="shared" si="40"/>
        <v>2522500.030574007</v>
      </c>
      <c r="AJ65" s="40">
        <f t="shared" si="40"/>
        <v>2412826.1162012238</v>
      </c>
      <c r="AK65" s="40">
        <f t="shared" si="40"/>
        <v>2303152.2018284407</v>
      </c>
      <c r="AL65" s="40">
        <f t="shared" si="40"/>
        <v>2193478.2874556575</v>
      </c>
      <c r="AM65" s="40">
        <f t="shared" si="40"/>
        <v>2083804.3730828746</v>
      </c>
      <c r="AN65" s="40">
        <f t="shared" si="40"/>
        <v>1974130.4587100917</v>
      </c>
      <c r="AO65" s="40">
        <f t="shared" si="40"/>
        <v>1864456.5443373087</v>
      </c>
      <c r="AP65" s="40">
        <f t="shared" si="40"/>
        <v>1754782.6299645258</v>
      </c>
      <c r="AQ65" s="40">
        <f t="shared" si="40"/>
        <v>1645108.7155917429</v>
      </c>
      <c r="AR65" s="40">
        <f t="shared" si="40"/>
        <v>1535434.80121896</v>
      </c>
      <c r="AS65" s="40">
        <f t="shared" si="40"/>
        <v>1425760.886846177</v>
      </c>
      <c r="AT65" s="40">
        <f t="shared" si="40"/>
        <v>1316086.9724733941</v>
      </c>
      <c r="AU65" s="40">
        <f t="shared" si="40"/>
        <v>1206413.0581006112</v>
      </c>
      <c r="AV65" s="40">
        <f t="shared" si="40"/>
        <v>1096739.1437278283</v>
      </c>
      <c r="AW65" s="40">
        <f t="shared" si="40"/>
        <v>987065.22935504525</v>
      </c>
    </row>
    <row r="66" spans="1:49" ht="8.1" customHeight="1" x14ac:dyDescent="0.2">
      <c r="D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</row>
    <row r="67" spans="1:49" x14ac:dyDescent="0.2">
      <c r="B67" s="27">
        <f>+B64</f>
        <v>1</v>
      </c>
      <c r="C67" s="28">
        <f>+$D$7</f>
        <v>39</v>
      </c>
      <c r="D67" s="27">
        <f>+D64+1</f>
        <v>15</v>
      </c>
      <c r="E67" s="29" t="s">
        <v>27</v>
      </c>
      <c r="I67" s="35"/>
      <c r="J67" s="35"/>
      <c r="K67" s="35"/>
      <c r="L67" s="35"/>
      <c r="M67" s="35"/>
      <c r="N67" s="35"/>
      <c r="O67" s="35"/>
      <c r="P67" s="35"/>
      <c r="R67" s="35"/>
      <c r="S67" s="35"/>
      <c r="T67" s="29">
        <v>0</v>
      </c>
      <c r="U67" s="35">
        <f>+$D68/$C67</f>
        <v>112964.13180396651</v>
      </c>
      <c r="V67" s="35">
        <f t="shared" ref="V67:AW67" si="41">+$D68/$C67</f>
        <v>112964.13180396651</v>
      </c>
      <c r="W67" s="35">
        <f t="shared" si="41"/>
        <v>112964.13180396651</v>
      </c>
      <c r="X67" s="35">
        <f t="shared" si="41"/>
        <v>112964.13180396651</v>
      </c>
      <c r="Y67" s="35">
        <f t="shared" si="41"/>
        <v>112964.13180396651</v>
      </c>
      <c r="Z67" s="35">
        <f t="shared" si="41"/>
        <v>112964.13180396651</v>
      </c>
      <c r="AA67" s="35">
        <f t="shared" si="41"/>
        <v>112964.13180396651</v>
      </c>
      <c r="AB67" s="35">
        <f t="shared" si="41"/>
        <v>112964.13180396651</v>
      </c>
      <c r="AC67" s="35">
        <f t="shared" si="41"/>
        <v>112964.13180396651</v>
      </c>
      <c r="AD67" s="35">
        <f t="shared" si="41"/>
        <v>112964.13180396651</v>
      </c>
      <c r="AE67" s="35">
        <f t="shared" si="41"/>
        <v>112964.13180396651</v>
      </c>
      <c r="AF67" s="35">
        <f t="shared" si="41"/>
        <v>112964.13180396651</v>
      </c>
      <c r="AG67" s="35">
        <f t="shared" si="41"/>
        <v>112964.13180396651</v>
      </c>
      <c r="AH67" s="35">
        <f t="shared" si="41"/>
        <v>112964.13180396651</v>
      </c>
      <c r="AI67" s="35">
        <f t="shared" si="41"/>
        <v>112964.13180396651</v>
      </c>
      <c r="AJ67" s="35">
        <f t="shared" si="41"/>
        <v>112964.13180396651</v>
      </c>
      <c r="AK67" s="35">
        <f t="shared" si="41"/>
        <v>112964.13180396651</v>
      </c>
      <c r="AL67" s="35">
        <f t="shared" si="41"/>
        <v>112964.13180396651</v>
      </c>
      <c r="AM67" s="35">
        <f t="shared" si="41"/>
        <v>112964.13180396651</v>
      </c>
      <c r="AN67" s="35">
        <f t="shared" si="41"/>
        <v>112964.13180396651</v>
      </c>
      <c r="AO67" s="35">
        <f t="shared" si="41"/>
        <v>112964.13180396651</v>
      </c>
      <c r="AP67" s="35">
        <f t="shared" si="41"/>
        <v>112964.13180396651</v>
      </c>
      <c r="AQ67" s="35">
        <f t="shared" si="41"/>
        <v>112964.13180396651</v>
      </c>
      <c r="AR67" s="35">
        <f t="shared" si="41"/>
        <v>112964.13180396651</v>
      </c>
      <c r="AS67" s="35">
        <f t="shared" si="41"/>
        <v>112964.13180396651</v>
      </c>
      <c r="AT67" s="35">
        <f t="shared" si="41"/>
        <v>112964.13180396651</v>
      </c>
      <c r="AU67" s="35">
        <f t="shared" si="41"/>
        <v>112964.13180396651</v>
      </c>
      <c r="AV67" s="35">
        <f t="shared" si="41"/>
        <v>112964.13180396651</v>
      </c>
      <c r="AW67" s="35">
        <f t="shared" si="41"/>
        <v>112964.13180396651</v>
      </c>
    </row>
    <row r="68" spans="1:49" x14ac:dyDescent="0.2">
      <c r="A68" s="27">
        <f>+A65</f>
        <v>1</v>
      </c>
      <c r="D68" s="39">
        <f>HLOOKUP(D67,$F$3:$AW$7,5)</f>
        <v>4405601.1403546939</v>
      </c>
      <c r="E68" s="29" t="s">
        <v>20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>
        <f>+$D68</f>
        <v>4405601.1403546939</v>
      </c>
      <c r="U68" s="40">
        <f>+T68-U67</f>
        <v>4292637.0085507277</v>
      </c>
      <c r="V68" s="40">
        <f t="shared" ref="V68:AW68" si="42">+U68-V67</f>
        <v>4179672.8767467611</v>
      </c>
      <c r="W68" s="40">
        <f t="shared" si="42"/>
        <v>4066708.7449427946</v>
      </c>
      <c r="X68" s="40">
        <f t="shared" si="42"/>
        <v>3953744.613138828</v>
      </c>
      <c r="Y68" s="40">
        <f t="shared" si="42"/>
        <v>3840780.4813348614</v>
      </c>
      <c r="Z68" s="40">
        <f t="shared" si="42"/>
        <v>3727816.3495308948</v>
      </c>
      <c r="AA68" s="40">
        <f t="shared" si="42"/>
        <v>3614852.2177269282</v>
      </c>
      <c r="AB68" s="40">
        <f t="shared" si="42"/>
        <v>3501888.0859229616</v>
      </c>
      <c r="AC68" s="40">
        <f t="shared" si="42"/>
        <v>3388923.954118995</v>
      </c>
      <c r="AD68" s="40">
        <f t="shared" si="42"/>
        <v>3275959.8223150284</v>
      </c>
      <c r="AE68" s="40">
        <f t="shared" si="42"/>
        <v>3162995.6905110618</v>
      </c>
      <c r="AF68" s="40">
        <f t="shared" si="42"/>
        <v>3050031.5587070952</v>
      </c>
      <c r="AG68" s="40">
        <f t="shared" si="42"/>
        <v>2937067.4269031286</v>
      </c>
      <c r="AH68" s="40">
        <f t="shared" si="42"/>
        <v>2824103.295099162</v>
      </c>
      <c r="AI68" s="40">
        <f t="shared" si="42"/>
        <v>2711139.1632951954</v>
      </c>
      <c r="AJ68" s="40">
        <f t="shared" si="42"/>
        <v>2598175.0314912288</v>
      </c>
      <c r="AK68" s="40">
        <f t="shared" si="42"/>
        <v>2485210.8996872623</v>
      </c>
      <c r="AL68" s="40">
        <f t="shared" si="42"/>
        <v>2372246.7678832957</v>
      </c>
      <c r="AM68" s="40">
        <f t="shared" si="42"/>
        <v>2259282.6360793291</v>
      </c>
      <c r="AN68" s="40">
        <f t="shared" si="42"/>
        <v>2146318.5042753625</v>
      </c>
      <c r="AO68" s="40">
        <f t="shared" si="42"/>
        <v>2033354.3724713959</v>
      </c>
      <c r="AP68" s="40">
        <f t="shared" si="42"/>
        <v>1920390.2406674293</v>
      </c>
      <c r="AQ68" s="40">
        <f t="shared" si="42"/>
        <v>1807426.1088634627</v>
      </c>
      <c r="AR68" s="40">
        <f t="shared" si="42"/>
        <v>1694461.9770594961</v>
      </c>
      <c r="AS68" s="40">
        <f t="shared" si="42"/>
        <v>1581497.8452555295</v>
      </c>
      <c r="AT68" s="40">
        <f t="shared" si="42"/>
        <v>1468533.7134515629</v>
      </c>
      <c r="AU68" s="40">
        <f t="shared" si="42"/>
        <v>1355569.5816475963</v>
      </c>
      <c r="AV68" s="40">
        <f t="shared" si="42"/>
        <v>1242605.4498436297</v>
      </c>
      <c r="AW68" s="40">
        <f t="shared" si="42"/>
        <v>1129641.3180396631</v>
      </c>
    </row>
    <row r="69" spans="1:49" ht="8.1" customHeight="1" x14ac:dyDescent="0.2">
      <c r="D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</row>
    <row r="70" spans="1:49" x14ac:dyDescent="0.2">
      <c r="B70" s="27">
        <f>+B67</f>
        <v>1</v>
      </c>
      <c r="C70" s="28">
        <f>+$D$7</f>
        <v>39</v>
      </c>
      <c r="D70" s="27">
        <f>+D67+1</f>
        <v>16</v>
      </c>
      <c r="E70" s="29" t="s">
        <v>27</v>
      </c>
      <c r="I70" s="35"/>
      <c r="J70" s="35"/>
      <c r="K70" s="35"/>
      <c r="L70" s="35"/>
      <c r="M70" s="35"/>
      <c r="N70" s="35"/>
      <c r="O70" s="35"/>
      <c r="P70" s="35"/>
      <c r="R70" s="35"/>
      <c r="S70" s="35"/>
      <c r="U70" s="29">
        <v>0</v>
      </c>
      <c r="V70" s="35">
        <f>+$D71/$C70</f>
        <v>116353.05575808551</v>
      </c>
      <c r="W70" s="35">
        <f t="shared" ref="W70:AW70" si="43">+$D71/$C70</f>
        <v>116353.05575808551</v>
      </c>
      <c r="X70" s="35">
        <f t="shared" si="43"/>
        <v>116353.05575808551</v>
      </c>
      <c r="Y70" s="35">
        <f t="shared" si="43"/>
        <v>116353.05575808551</v>
      </c>
      <c r="Z70" s="35">
        <f t="shared" si="43"/>
        <v>116353.05575808551</v>
      </c>
      <c r="AA70" s="35">
        <f t="shared" si="43"/>
        <v>116353.05575808551</v>
      </c>
      <c r="AB70" s="35">
        <f t="shared" si="43"/>
        <v>116353.05575808551</v>
      </c>
      <c r="AC70" s="35">
        <f t="shared" si="43"/>
        <v>116353.05575808551</v>
      </c>
      <c r="AD70" s="35">
        <f t="shared" si="43"/>
        <v>116353.05575808551</v>
      </c>
      <c r="AE70" s="35">
        <f t="shared" si="43"/>
        <v>116353.05575808551</v>
      </c>
      <c r="AF70" s="35">
        <f t="shared" si="43"/>
        <v>116353.05575808551</v>
      </c>
      <c r="AG70" s="35">
        <f t="shared" si="43"/>
        <v>116353.05575808551</v>
      </c>
      <c r="AH70" s="35">
        <f t="shared" si="43"/>
        <v>116353.05575808551</v>
      </c>
      <c r="AI70" s="35">
        <f t="shared" si="43"/>
        <v>116353.05575808551</v>
      </c>
      <c r="AJ70" s="35">
        <f t="shared" si="43"/>
        <v>116353.05575808551</v>
      </c>
      <c r="AK70" s="35">
        <f t="shared" si="43"/>
        <v>116353.05575808551</v>
      </c>
      <c r="AL70" s="35">
        <f t="shared" si="43"/>
        <v>116353.05575808551</v>
      </c>
      <c r="AM70" s="35">
        <f t="shared" si="43"/>
        <v>116353.05575808551</v>
      </c>
      <c r="AN70" s="35">
        <f t="shared" si="43"/>
        <v>116353.05575808551</v>
      </c>
      <c r="AO70" s="35">
        <f t="shared" si="43"/>
        <v>116353.05575808551</v>
      </c>
      <c r="AP70" s="35">
        <f t="shared" si="43"/>
        <v>116353.05575808551</v>
      </c>
      <c r="AQ70" s="35">
        <f t="shared" si="43"/>
        <v>116353.05575808551</v>
      </c>
      <c r="AR70" s="35">
        <f t="shared" si="43"/>
        <v>116353.05575808551</v>
      </c>
      <c r="AS70" s="35">
        <f t="shared" si="43"/>
        <v>116353.05575808551</v>
      </c>
      <c r="AT70" s="35">
        <f t="shared" si="43"/>
        <v>116353.05575808551</v>
      </c>
      <c r="AU70" s="35">
        <f t="shared" si="43"/>
        <v>116353.05575808551</v>
      </c>
      <c r="AV70" s="35">
        <f t="shared" si="43"/>
        <v>116353.05575808551</v>
      </c>
      <c r="AW70" s="35">
        <f t="shared" si="43"/>
        <v>116353.05575808551</v>
      </c>
    </row>
    <row r="71" spans="1:49" x14ac:dyDescent="0.2">
      <c r="A71" s="27">
        <f>+A68</f>
        <v>1</v>
      </c>
      <c r="D71" s="39">
        <f>HLOOKUP(D70,$F$3:$AW$7,5)</f>
        <v>4537769.1745653348</v>
      </c>
      <c r="E71" s="29" t="s">
        <v>20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U71" s="40">
        <f>+$D71</f>
        <v>4537769.1745653348</v>
      </c>
      <c r="V71" s="40">
        <f>+U71-V70</f>
        <v>4421416.1188072497</v>
      </c>
      <c r="W71" s="40">
        <f t="shared" ref="W71:AW71" si="44">+V71-W70</f>
        <v>4305063.0630491646</v>
      </c>
      <c r="X71" s="40">
        <f t="shared" si="44"/>
        <v>4188710.007291079</v>
      </c>
      <c r="Y71" s="40">
        <f t="shared" si="44"/>
        <v>4072356.9515329935</v>
      </c>
      <c r="Z71" s="40">
        <f t="shared" si="44"/>
        <v>3956003.8957749079</v>
      </c>
      <c r="AA71" s="40">
        <f t="shared" si="44"/>
        <v>3839650.8400168223</v>
      </c>
      <c r="AB71" s="40">
        <f t="shared" si="44"/>
        <v>3723297.7842587368</v>
      </c>
      <c r="AC71" s="40">
        <f t="shared" si="44"/>
        <v>3606944.7285006512</v>
      </c>
      <c r="AD71" s="40">
        <f t="shared" si="44"/>
        <v>3490591.6727425656</v>
      </c>
      <c r="AE71" s="40">
        <f t="shared" si="44"/>
        <v>3374238.6169844801</v>
      </c>
      <c r="AF71" s="40">
        <f t="shared" si="44"/>
        <v>3257885.5612263945</v>
      </c>
      <c r="AG71" s="40">
        <f t="shared" si="44"/>
        <v>3141532.5054683089</v>
      </c>
      <c r="AH71" s="40">
        <f t="shared" si="44"/>
        <v>3025179.4497102234</v>
      </c>
      <c r="AI71" s="40">
        <f t="shared" si="44"/>
        <v>2908826.3939521378</v>
      </c>
      <c r="AJ71" s="40">
        <f t="shared" si="44"/>
        <v>2792473.3381940522</v>
      </c>
      <c r="AK71" s="40">
        <f t="shared" si="44"/>
        <v>2676120.2824359667</v>
      </c>
      <c r="AL71" s="40">
        <f t="shared" si="44"/>
        <v>2559767.2266778811</v>
      </c>
      <c r="AM71" s="40">
        <f t="shared" si="44"/>
        <v>2443414.1709197955</v>
      </c>
      <c r="AN71" s="40">
        <f t="shared" si="44"/>
        <v>2327061.11516171</v>
      </c>
      <c r="AO71" s="40">
        <f t="shared" si="44"/>
        <v>2210708.0594036244</v>
      </c>
      <c r="AP71" s="40">
        <f t="shared" si="44"/>
        <v>2094355.0036455388</v>
      </c>
      <c r="AQ71" s="40">
        <f t="shared" si="44"/>
        <v>1978001.9478874533</v>
      </c>
      <c r="AR71" s="40">
        <f t="shared" si="44"/>
        <v>1861648.8921293677</v>
      </c>
      <c r="AS71" s="40">
        <f t="shared" si="44"/>
        <v>1745295.8363712821</v>
      </c>
      <c r="AT71" s="40">
        <f t="shared" si="44"/>
        <v>1628942.7806131965</v>
      </c>
      <c r="AU71" s="40">
        <f t="shared" si="44"/>
        <v>1512589.724855111</v>
      </c>
      <c r="AV71" s="40">
        <f t="shared" si="44"/>
        <v>1396236.6690970254</v>
      </c>
      <c r="AW71" s="40">
        <f t="shared" si="44"/>
        <v>1279883.6133389398</v>
      </c>
    </row>
    <row r="72" spans="1:49" ht="8.1" customHeight="1" x14ac:dyDescent="0.2">
      <c r="D72" s="39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</row>
    <row r="73" spans="1:49" x14ac:dyDescent="0.2">
      <c r="B73" s="27">
        <f>+B70</f>
        <v>1</v>
      </c>
      <c r="C73" s="28">
        <f>+$D$7</f>
        <v>39</v>
      </c>
      <c r="D73" s="27">
        <f>+D70+1</f>
        <v>17</v>
      </c>
      <c r="E73" s="29" t="s">
        <v>27</v>
      </c>
      <c r="I73" s="35"/>
      <c r="J73" s="35"/>
      <c r="K73" s="35"/>
      <c r="L73" s="35"/>
      <c r="M73" s="35"/>
      <c r="N73" s="35"/>
      <c r="O73" s="35"/>
      <c r="P73" s="35"/>
      <c r="R73" s="35"/>
      <c r="S73" s="35"/>
      <c r="T73" s="35"/>
      <c r="U73" s="35"/>
      <c r="V73" s="29">
        <v>0</v>
      </c>
      <c r="W73" s="35">
        <f>+$D74/$C73</f>
        <v>119843.64743082807</v>
      </c>
      <c r="X73" s="35">
        <f t="shared" ref="X73:AW73" si="45">+$D74/$C73</f>
        <v>119843.64743082807</v>
      </c>
      <c r="Y73" s="35">
        <f t="shared" si="45"/>
        <v>119843.64743082807</v>
      </c>
      <c r="Z73" s="35">
        <f t="shared" si="45"/>
        <v>119843.64743082807</v>
      </c>
      <c r="AA73" s="35">
        <f t="shared" si="45"/>
        <v>119843.64743082807</v>
      </c>
      <c r="AB73" s="35">
        <f t="shared" si="45"/>
        <v>119843.64743082807</v>
      </c>
      <c r="AC73" s="35">
        <f t="shared" si="45"/>
        <v>119843.64743082807</v>
      </c>
      <c r="AD73" s="35">
        <f t="shared" si="45"/>
        <v>119843.64743082807</v>
      </c>
      <c r="AE73" s="35">
        <f t="shared" si="45"/>
        <v>119843.64743082807</v>
      </c>
      <c r="AF73" s="35">
        <f t="shared" si="45"/>
        <v>119843.64743082807</v>
      </c>
      <c r="AG73" s="35">
        <f t="shared" si="45"/>
        <v>119843.64743082807</v>
      </c>
      <c r="AH73" s="35">
        <f t="shared" si="45"/>
        <v>119843.64743082807</v>
      </c>
      <c r="AI73" s="35">
        <f t="shared" si="45"/>
        <v>119843.64743082807</v>
      </c>
      <c r="AJ73" s="35">
        <f t="shared" si="45"/>
        <v>119843.64743082807</v>
      </c>
      <c r="AK73" s="35">
        <f t="shared" si="45"/>
        <v>119843.64743082807</v>
      </c>
      <c r="AL73" s="35">
        <f t="shared" si="45"/>
        <v>119843.64743082807</v>
      </c>
      <c r="AM73" s="35">
        <f t="shared" si="45"/>
        <v>119843.64743082807</v>
      </c>
      <c r="AN73" s="35">
        <f t="shared" si="45"/>
        <v>119843.64743082807</v>
      </c>
      <c r="AO73" s="35">
        <f t="shared" si="45"/>
        <v>119843.64743082807</v>
      </c>
      <c r="AP73" s="35">
        <f t="shared" si="45"/>
        <v>119843.64743082807</v>
      </c>
      <c r="AQ73" s="35">
        <f t="shared" si="45"/>
        <v>119843.64743082807</v>
      </c>
      <c r="AR73" s="35">
        <f t="shared" si="45"/>
        <v>119843.64743082807</v>
      </c>
      <c r="AS73" s="35">
        <f t="shared" si="45"/>
        <v>119843.64743082807</v>
      </c>
      <c r="AT73" s="35">
        <f t="shared" si="45"/>
        <v>119843.64743082807</v>
      </c>
      <c r="AU73" s="35">
        <f t="shared" si="45"/>
        <v>119843.64743082807</v>
      </c>
      <c r="AV73" s="35">
        <f t="shared" si="45"/>
        <v>119843.64743082807</v>
      </c>
      <c r="AW73" s="35">
        <f t="shared" si="45"/>
        <v>119843.64743082807</v>
      </c>
    </row>
    <row r="74" spans="1:49" x14ac:dyDescent="0.2">
      <c r="A74" s="27">
        <f>+A71</f>
        <v>1</v>
      </c>
      <c r="D74" s="39">
        <f>HLOOKUP(D73,$F$3:$AW$7,5)</f>
        <v>4673902.2498022951</v>
      </c>
      <c r="E74" s="29" t="s">
        <v>20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>
        <f>+$D74</f>
        <v>4673902.2498022951</v>
      </c>
      <c r="W74" s="40">
        <f>+V74-W73</f>
        <v>4554058.6023714673</v>
      </c>
      <c r="X74" s="40">
        <f t="shared" ref="X74:AW74" si="46">+W74-X73</f>
        <v>4434214.9549406394</v>
      </c>
      <c r="Y74" s="40">
        <f t="shared" si="46"/>
        <v>4314371.3075098116</v>
      </c>
      <c r="Z74" s="40">
        <f t="shared" si="46"/>
        <v>4194527.6600789838</v>
      </c>
      <c r="AA74" s="40">
        <f t="shared" si="46"/>
        <v>4074684.0126481559</v>
      </c>
      <c r="AB74" s="40">
        <f t="shared" si="46"/>
        <v>3954840.3652173281</v>
      </c>
      <c r="AC74" s="40">
        <f t="shared" si="46"/>
        <v>3834996.7177865002</v>
      </c>
      <c r="AD74" s="40">
        <f t="shared" si="46"/>
        <v>3715153.0703556724</v>
      </c>
      <c r="AE74" s="40">
        <f t="shared" si="46"/>
        <v>3595309.4229248445</v>
      </c>
      <c r="AF74" s="40">
        <f t="shared" si="46"/>
        <v>3475465.7754940167</v>
      </c>
      <c r="AG74" s="40">
        <f t="shared" si="46"/>
        <v>3355622.1280631889</v>
      </c>
      <c r="AH74" s="40">
        <f t="shared" si="46"/>
        <v>3235778.480632361</v>
      </c>
      <c r="AI74" s="40">
        <f t="shared" si="46"/>
        <v>3115934.8332015332</v>
      </c>
      <c r="AJ74" s="40">
        <f t="shared" si="46"/>
        <v>2996091.1857707053</v>
      </c>
      <c r="AK74" s="40">
        <f t="shared" si="46"/>
        <v>2876247.5383398775</v>
      </c>
      <c r="AL74" s="40">
        <f t="shared" si="46"/>
        <v>2756403.8909090497</v>
      </c>
      <c r="AM74" s="40">
        <f t="shared" si="46"/>
        <v>2636560.2434782218</v>
      </c>
      <c r="AN74" s="40">
        <f t="shared" si="46"/>
        <v>2516716.596047394</v>
      </c>
      <c r="AO74" s="40">
        <f t="shared" si="46"/>
        <v>2396872.9486165661</v>
      </c>
      <c r="AP74" s="40">
        <f t="shared" si="46"/>
        <v>2277029.3011857383</v>
      </c>
      <c r="AQ74" s="40">
        <f t="shared" si="46"/>
        <v>2157185.6537549105</v>
      </c>
      <c r="AR74" s="40">
        <f t="shared" si="46"/>
        <v>2037342.0063240824</v>
      </c>
      <c r="AS74" s="40">
        <f t="shared" si="46"/>
        <v>1917498.3588932543</v>
      </c>
      <c r="AT74" s="40">
        <f t="shared" si="46"/>
        <v>1797654.7114624262</v>
      </c>
      <c r="AU74" s="40">
        <f t="shared" si="46"/>
        <v>1677811.0640315982</v>
      </c>
      <c r="AV74" s="40">
        <f t="shared" si="46"/>
        <v>1557967.4166007701</v>
      </c>
      <c r="AW74" s="40">
        <f t="shared" si="46"/>
        <v>1438123.769169942</v>
      </c>
    </row>
    <row r="75" spans="1:49" ht="8.1" customHeight="1" x14ac:dyDescent="0.2">
      <c r="D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</row>
    <row r="76" spans="1:49" x14ac:dyDescent="0.2">
      <c r="B76" s="27">
        <f>+B73</f>
        <v>1</v>
      </c>
      <c r="C76" s="28">
        <f>+$D$7</f>
        <v>39</v>
      </c>
      <c r="D76" s="27">
        <f>+D73+1</f>
        <v>18</v>
      </c>
      <c r="E76" s="29" t="s">
        <v>27</v>
      </c>
      <c r="I76" s="35"/>
      <c r="J76" s="35"/>
      <c r="K76" s="35"/>
      <c r="L76" s="35"/>
      <c r="M76" s="35"/>
      <c r="N76" s="35"/>
      <c r="O76" s="35"/>
      <c r="P76" s="35"/>
      <c r="R76" s="35"/>
      <c r="S76" s="35"/>
      <c r="T76" s="35"/>
      <c r="U76" s="35"/>
      <c r="W76" s="29">
        <v>0</v>
      </c>
      <c r="X76" s="35">
        <f>+$D77/$C76</f>
        <v>123438.95685375293</v>
      </c>
      <c r="Y76" s="35">
        <f t="shared" ref="Y76:AW76" si="47">+$D77/$C76</f>
        <v>123438.95685375293</v>
      </c>
      <c r="Z76" s="35">
        <f t="shared" si="47"/>
        <v>123438.95685375293</v>
      </c>
      <c r="AA76" s="35">
        <f t="shared" si="47"/>
        <v>123438.95685375293</v>
      </c>
      <c r="AB76" s="35">
        <f t="shared" si="47"/>
        <v>123438.95685375293</v>
      </c>
      <c r="AC76" s="35">
        <f t="shared" si="47"/>
        <v>123438.95685375293</v>
      </c>
      <c r="AD76" s="35">
        <f t="shared" si="47"/>
        <v>123438.95685375293</v>
      </c>
      <c r="AE76" s="35">
        <f t="shared" si="47"/>
        <v>123438.95685375293</v>
      </c>
      <c r="AF76" s="35">
        <f t="shared" si="47"/>
        <v>123438.95685375293</v>
      </c>
      <c r="AG76" s="35">
        <f t="shared" si="47"/>
        <v>123438.95685375293</v>
      </c>
      <c r="AH76" s="35">
        <f t="shared" si="47"/>
        <v>123438.95685375293</v>
      </c>
      <c r="AI76" s="35">
        <f t="shared" si="47"/>
        <v>123438.95685375293</v>
      </c>
      <c r="AJ76" s="35">
        <f t="shared" si="47"/>
        <v>123438.95685375293</v>
      </c>
      <c r="AK76" s="35">
        <f t="shared" si="47"/>
        <v>123438.95685375293</v>
      </c>
      <c r="AL76" s="35">
        <f t="shared" si="47"/>
        <v>123438.95685375293</v>
      </c>
      <c r="AM76" s="35">
        <f t="shared" si="47"/>
        <v>123438.95685375293</v>
      </c>
      <c r="AN76" s="35">
        <f t="shared" si="47"/>
        <v>123438.95685375293</v>
      </c>
      <c r="AO76" s="35">
        <f t="shared" si="47"/>
        <v>123438.95685375293</v>
      </c>
      <c r="AP76" s="35">
        <f t="shared" si="47"/>
        <v>123438.95685375293</v>
      </c>
      <c r="AQ76" s="35">
        <f t="shared" si="47"/>
        <v>123438.95685375293</v>
      </c>
      <c r="AR76" s="35">
        <f t="shared" si="47"/>
        <v>123438.95685375293</v>
      </c>
      <c r="AS76" s="35">
        <f t="shared" si="47"/>
        <v>123438.95685375293</v>
      </c>
      <c r="AT76" s="35">
        <f t="shared" si="47"/>
        <v>123438.95685375293</v>
      </c>
      <c r="AU76" s="35">
        <f t="shared" si="47"/>
        <v>123438.95685375293</v>
      </c>
      <c r="AV76" s="35">
        <f t="shared" si="47"/>
        <v>123438.95685375293</v>
      </c>
      <c r="AW76" s="35">
        <f t="shared" si="47"/>
        <v>123438.95685375293</v>
      </c>
    </row>
    <row r="77" spans="1:49" x14ac:dyDescent="0.2">
      <c r="A77" s="27">
        <f>+A74</f>
        <v>1</v>
      </c>
      <c r="D77" s="39">
        <f>HLOOKUP(D76,$F$3:$AW$7,5)</f>
        <v>4814119.3172963643</v>
      </c>
      <c r="E77" s="29" t="s">
        <v>20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W77" s="40">
        <f>+$D77</f>
        <v>4814119.3172963643</v>
      </c>
      <c r="X77" s="40">
        <f>+W77-X76</f>
        <v>4690680.3604426114</v>
      </c>
      <c r="Y77" s="40">
        <f t="shared" ref="Y77:AW77" si="48">+X77-Y76</f>
        <v>4567241.4035888584</v>
      </c>
      <c r="Z77" s="40">
        <f t="shared" si="48"/>
        <v>4443802.4467351055</v>
      </c>
      <c r="AA77" s="40">
        <f t="shared" si="48"/>
        <v>4320363.4898813525</v>
      </c>
      <c r="AB77" s="40">
        <f t="shared" si="48"/>
        <v>4196924.5330275996</v>
      </c>
      <c r="AC77" s="40">
        <f t="shared" si="48"/>
        <v>4073485.5761738466</v>
      </c>
      <c r="AD77" s="40">
        <f t="shared" si="48"/>
        <v>3950046.6193200937</v>
      </c>
      <c r="AE77" s="40">
        <f t="shared" si="48"/>
        <v>3826607.6624663407</v>
      </c>
      <c r="AF77" s="40">
        <f t="shared" si="48"/>
        <v>3703168.7056125877</v>
      </c>
      <c r="AG77" s="40">
        <f t="shared" si="48"/>
        <v>3579729.7487588348</v>
      </c>
      <c r="AH77" s="40">
        <f t="shared" si="48"/>
        <v>3456290.7919050818</v>
      </c>
      <c r="AI77" s="40">
        <f t="shared" si="48"/>
        <v>3332851.8350513289</v>
      </c>
      <c r="AJ77" s="40">
        <f t="shared" si="48"/>
        <v>3209412.8781975759</v>
      </c>
      <c r="AK77" s="40">
        <f t="shared" si="48"/>
        <v>3085973.921343823</v>
      </c>
      <c r="AL77" s="40">
        <f t="shared" si="48"/>
        <v>2962534.96449007</v>
      </c>
      <c r="AM77" s="40">
        <f t="shared" si="48"/>
        <v>2839096.0076363171</v>
      </c>
      <c r="AN77" s="40">
        <f t="shared" si="48"/>
        <v>2715657.0507825641</v>
      </c>
      <c r="AO77" s="40">
        <f t="shared" si="48"/>
        <v>2592218.0939288111</v>
      </c>
      <c r="AP77" s="40">
        <f t="shared" si="48"/>
        <v>2468779.1370750582</v>
      </c>
      <c r="AQ77" s="40">
        <f t="shared" si="48"/>
        <v>2345340.1802213052</v>
      </c>
      <c r="AR77" s="40">
        <f t="shared" si="48"/>
        <v>2221901.2233675523</v>
      </c>
      <c r="AS77" s="40">
        <f t="shared" si="48"/>
        <v>2098462.2665137993</v>
      </c>
      <c r="AT77" s="40">
        <f t="shared" si="48"/>
        <v>1975023.3096600464</v>
      </c>
      <c r="AU77" s="40">
        <f t="shared" si="48"/>
        <v>1851584.3528062934</v>
      </c>
      <c r="AV77" s="40">
        <f t="shared" si="48"/>
        <v>1728145.3959525404</v>
      </c>
      <c r="AW77" s="40">
        <f t="shared" si="48"/>
        <v>1604706.4390987875</v>
      </c>
    </row>
    <row r="78" spans="1:49" ht="8.1" customHeight="1" x14ac:dyDescent="0.2">
      <c r="D78" s="39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</row>
    <row r="79" spans="1:49" x14ac:dyDescent="0.2">
      <c r="B79" s="27">
        <f>+B76</f>
        <v>1</v>
      </c>
      <c r="C79" s="28">
        <f>+$D$7</f>
        <v>39</v>
      </c>
      <c r="D79" s="27">
        <f>+D76+1</f>
        <v>19</v>
      </c>
      <c r="E79" s="29" t="s">
        <v>27</v>
      </c>
      <c r="I79" s="35"/>
      <c r="J79" s="35"/>
      <c r="K79" s="35"/>
      <c r="L79" s="35"/>
      <c r="M79" s="35"/>
      <c r="N79" s="35"/>
      <c r="O79" s="35"/>
      <c r="P79" s="35"/>
      <c r="R79" s="35"/>
      <c r="S79" s="35"/>
      <c r="T79" s="35"/>
      <c r="U79" s="35"/>
      <c r="V79" s="35"/>
      <c r="W79" s="35"/>
      <c r="X79" s="29">
        <v>0</v>
      </c>
      <c r="Y79" s="35">
        <f>+$D80/$C79</f>
        <v>127142.12555936552</v>
      </c>
      <c r="Z79" s="35">
        <f t="shared" ref="Z79:AW79" si="49">+$D80/$C79</f>
        <v>127142.12555936552</v>
      </c>
      <c r="AA79" s="35">
        <f t="shared" si="49"/>
        <v>127142.12555936552</v>
      </c>
      <c r="AB79" s="35">
        <f t="shared" si="49"/>
        <v>127142.12555936552</v>
      </c>
      <c r="AC79" s="35">
        <f t="shared" si="49"/>
        <v>127142.12555936552</v>
      </c>
      <c r="AD79" s="35">
        <f t="shared" si="49"/>
        <v>127142.12555936552</v>
      </c>
      <c r="AE79" s="35">
        <f t="shared" si="49"/>
        <v>127142.12555936552</v>
      </c>
      <c r="AF79" s="35">
        <f t="shared" si="49"/>
        <v>127142.12555936552</v>
      </c>
      <c r="AG79" s="35">
        <f t="shared" si="49"/>
        <v>127142.12555936552</v>
      </c>
      <c r="AH79" s="35">
        <f t="shared" si="49"/>
        <v>127142.12555936552</v>
      </c>
      <c r="AI79" s="35">
        <f t="shared" si="49"/>
        <v>127142.12555936552</v>
      </c>
      <c r="AJ79" s="35">
        <f t="shared" si="49"/>
        <v>127142.12555936552</v>
      </c>
      <c r="AK79" s="35">
        <f t="shared" si="49"/>
        <v>127142.12555936552</v>
      </c>
      <c r="AL79" s="35">
        <f t="shared" si="49"/>
        <v>127142.12555936552</v>
      </c>
      <c r="AM79" s="35">
        <f t="shared" si="49"/>
        <v>127142.12555936552</v>
      </c>
      <c r="AN79" s="35">
        <f t="shared" si="49"/>
        <v>127142.12555936552</v>
      </c>
      <c r="AO79" s="35">
        <f t="shared" si="49"/>
        <v>127142.12555936552</v>
      </c>
      <c r="AP79" s="35">
        <f t="shared" si="49"/>
        <v>127142.12555936552</v>
      </c>
      <c r="AQ79" s="35">
        <f t="shared" si="49"/>
        <v>127142.12555936552</v>
      </c>
      <c r="AR79" s="35">
        <f t="shared" si="49"/>
        <v>127142.12555936552</v>
      </c>
      <c r="AS79" s="35">
        <f t="shared" si="49"/>
        <v>127142.12555936552</v>
      </c>
      <c r="AT79" s="35">
        <f t="shared" si="49"/>
        <v>127142.12555936552</v>
      </c>
      <c r="AU79" s="35">
        <f t="shared" si="49"/>
        <v>127142.12555936552</v>
      </c>
      <c r="AV79" s="35">
        <f t="shared" si="49"/>
        <v>127142.12555936552</v>
      </c>
      <c r="AW79" s="35">
        <f t="shared" si="49"/>
        <v>127142.12555936552</v>
      </c>
    </row>
    <row r="80" spans="1:49" x14ac:dyDescent="0.2">
      <c r="A80" s="27">
        <f>+A77</f>
        <v>1</v>
      </c>
      <c r="D80" s="39">
        <f>HLOOKUP(D79,$F$3:$AW$7,5)</f>
        <v>4958542.8968152553</v>
      </c>
      <c r="E80" s="29" t="s">
        <v>20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>
        <f>+$D80</f>
        <v>4958542.8968152553</v>
      </c>
      <c r="Y80" s="40">
        <f>+X80-Y79</f>
        <v>4831400.7712558899</v>
      </c>
      <c r="Z80" s="40">
        <f t="shared" ref="Z80:AW80" si="50">+Y80-Z79</f>
        <v>4704258.6456965245</v>
      </c>
      <c r="AA80" s="40">
        <f t="shared" si="50"/>
        <v>4577116.5201371592</v>
      </c>
      <c r="AB80" s="40">
        <f t="shared" si="50"/>
        <v>4449974.3945777938</v>
      </c>
      <c r="AC80" s="40">
        <f t="shared" si="50"/>
        <v>4322832.2690184284</v>
      </c>
      <c r="AD80" s="40">
        <f t="shared" si="50"/>
        <v>4195690.143459063</v>
      </c>
      <c r="AE80" s="40">
        <f t="shared" si="50"/>
        <v>4068548.0178996976</v>
      </c>
      <c r="AF80" s="40">
        <f t="shared" si="50"/>
        <v>3941405.8923403323</v>
      </c>
      <c r="AG80" s="40">
        <f t="shared" si="50"/>
        <v>3814263.7667809669</v>
      </c>
      <c r="AH80" s="40">
        <f t="shared" si="50"/>
        <v>3687121.6412216015</v>
      </c>
      <c r="AI80" s="40">
        <f t="shared" si="50"/>
        <v>3559979.5156622361</v>
      </c>
      <c r="AJ80" s="40">
        <f t="shared" si="50"/>
        <v>3432837.3901028708</v>
      </c>
      <c r="AK80" s="40">
        <f t="shared" si="50"/>
        <v>3305695.2645435054</v>
      </c>
      <c r="AL80" s="40">
        <f t="shared" si="50"/>
        <v>3178553.13898414</v>
      </c>
      <c r="AM80" s="40">
        <f t="shared" si="50"/>
        <v>3051411.0134247746</v>
      </c>
      <c r="AN80" s="40">
        <f t="shared" si="50"/>
        <v>2924268.8878654093</v>
      </c>
      <c r="AO80" s="40">
        <f t="shared" si="50"/>
        <v>2797126.7623060439</v>
      </c>
      <c r="AP80" s="40">
        <f t="shared" si="50"/>
        <v>2669984.6367466785</v>
      </c>
      <c r="AQ80" s="40">
        <f t="shared" si="50"/>
        <v>2542842.5111873131</v>
      </c>
      <c r="AR80" s="40">
        <f t="shared" si="50"/>
        <v>2415700.3856279477</v>
      </c>
      <c r="AS80" s="40">
        <f t="shared" si="50"/>
        <v>2288558.2600685824</v>
      </c>
      <c r="AT80" s="40">
        <f t="shared" si="50"/>
        <v>2161416.134509217</v>
      </c>
      <c r="AU80" s="40">
        <f t="shared" si="50"/>
        <v>2034274.0089498514</v>
      </c>
      <c r="AV80" s="40">
        <f t="shared" si="50"/>
        <v>1907131.8833904858</v>
      </c>
      <c r="AW80" s="40">
        <f t="shared" si="50"/>
        <v>1779989.7578311202</v>
      </c>
    </row>
    <row r="81" spans="1:49" ht="8.1" customHeight="1" x14ac:dyDescent="0.2">
      <c r="D81" s="39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</row>
    <row r="82" spans="1:49" x14ac:dyDescent="0.2">
      <c r="B82" s="27">
        <f>+B79</f>
        <v>1</v>
      </c>
      <c r="C82" s="28">
        <f>+$D$7</f>
        <v>39</v>
      </c>
      <c r="D82" s="27">
        <f>+D79+1</f>
        <v>20</v>
      </c>
      <c r="E82" s="29" t="s">
        <v>27</v>
      </c>
      <c r="I82" s="35"/>
      <c r="J82" s="35"/>
      <c r="K82" s="35"/>
      <c r="L82" s="35"/>
      <c r="M82" s="35"/>
      <c r="N82" s="35"/>
      <c r="O82" s="35"/>
      <c r="P82" s="35"/>
      <c r="R82" s="35"/>
      <c r="S82" s="35"/>
      <c r="T82" s="35"/>
      <c r="U82" s="35"/>
      <c r="V82" s="35"/>
      <c r="W82" s="35"/>
      <c r="Y82" s="29">
        <v>0</v>
      </c>
      <c r="Z82" s="35">
        <f>+$D83/$C82</f>
        <v>130956.3893261465</v>
      </c>
      <c r="AA82" s="35">
        <f t="shared" ref="AA82:AW82" si="51">+$D83/$C82</f>
        <v>130956.3893261465</v>
      </c>
      <c r="AB82" s="35">
        <f t="shared" si="51"/>
        <v>130956.3893261465</v>
      </c>
      <c r="AC82" s="35">
        <f t="shared" si="51"/>
        <v>130956.3893261465</v>
      </c>
      <c r="AD82" s="35">
        <f t="shared" si="51"/>
        <v>130956.3893261465</v>
      </c>
      <c r="AE82" s="35">
        <f t="shared" si="51"/>
        <v>130956.3893261465</v>
      </c>
      <c r="AF82" s="35">
        <f t="shared" si="51"/>
        <v>130956.3893261465</v>
      </c>
      <c r="AG82" s="35">
        <f t="shared" si="51"/>
        <v>130956.3893261465</v>
      </c>
      <c r="AH82" s="35">
        <f t="shared" si="51"/>
        <v>130956.3893261465</v>
      </c>
      <c r="AI82" s="35">
        <f t="shared" si="51"/>
        <v>130956.3893261465</v>
      </c>
      <c r="AJ82" s="35">
        <f t="shared" si="51"/>
        <v>130956.3893261465</v>
      </c>
      <c r="AK82" s="35">
        <f t="shared" si="51"/>
        <v>130956.3893261465</v>
      </c>
      <c r="AL82" s="35">
        <f t="shared" si="51"/>
        <v>130956.3893261465</v>
      </c>
      <c r="AM82" s="35">
        <f t="shared" si="51"/>
        <v>130956.3893261465</v>
      </c>
      <c r="AN82" s="35">
        <f t="shared" si="51"/>
        <v>130956.3893261465</v>
      </c>
      <c r="AO82" s="35">
        <f t="shared" si="51"/>
        <v>130956.3893261465</v>
      </c>
      <c r="AP82" s="35">
        <f t="shared" si="51"/>
        <v>130956.3893261465</v>
      </c>
      <c r="AQ82" s="35">
        <f t="shared" si="51"/>
        <v>130956.3893261465</v>
      </c>
      <c r="AR82" s="35">
        <f t="shared" si="51"/>
        <v>130956.3893261465</v>
      </c>
      <c r="AS82" s="35">
        <f t="shared" si="51"/>
        <v>130956.3893261465</v>
      </c>
      <c r="AT82" s="35">
        <f t="shared" si="51"/>
        <v>130956.3893261465</v>
      </c>
      <c r="AU82" s="35">
        <f t="shared" si="51"/>
        <v>130956.3893261465</v>
      </c>
      <c r="AV82" s="35">
        <f t="shared" si="51"/>
        <v>130956.3893261465</v>
      </c>
      <c r="AW82" s="35">
        <f t="shared" si="51"/>
        <v>130956.3893261465</v>
      </c>
    </row>
    <row r="83" spans="1:49" x14ac:dyDescent="0.2">
      <c r="A83" s="27">
        <f>+A80</f>
        <v>1</v>
      </c>
      <c r="D83" s="39">
        <f>HLOOKUP(D82,$F$3:$AW$7,5)</f>
        <v>5107299.1837197132</v>
      </c>
      <c r="E83" s="29" t="s">
        <v>20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Y83" s="40">
        <f>+$D83</f>
        <v>5107299.1837197132</v>
      </c>
      <c r="Z83" s="40">
        <f>+Y83-Z82</f>
        <v>4976342.7943935664</v>
      </c>
      <c r="AA83" s="40">
        <f t="shared" ref="AA83:AW83" si="52">+Z83-AA82</f>
        <v>4845386.4050674196</v>
      </c>
      <c r="AB83" s="40">
        <f t="shared" si="52"/>
        <v>4714430.0157412728</v>
      </c>
      <c r="AC83" s="40">
        <f t="shared" si="52"/>
        <v>4583473.626415126</v>
      </c>
      <c r="AD83" s="40">
        <f t="shared" si="52"/>
        <v>4452517.2370889792</v>
      </c>
      <c r="AE83" s="40">
        <f t="shared" si="52"/>
        <v>4321560.8477628324</v>
      </c>
      <c r="AF83" s="40">
        <f t="shared" si="52"/>
        <v>4190604.4584366861</v>
      </c>
      <c r="AG83" s="40">
        <f t="shared" si="52"/>
        <v>4059648.0691105397</v>
      </c>
      <c r="AH83" s="40">
        <f t="shared" si="52"/>
        <v>3928691.6797843934</v>
      </c>
      <c r="AI83" s="40">
        <f t="shared" si="52"/>
        <v>3797735.2904582471</v>
      </c>
      <c r="AJ83" s="40">
        <f t="shared" si="52"/>
        <v>3666778.9011321007</v>
      </c>
      <c r="AK83" s="40">
        <f t="shared" si="52"/>
        <v>3535822.5118059544</v>
      </c>
      <c r="AL83" s="40">
        <f t="shared" si="52"/>
        <v>3404866.1224798081</v>
      </c>
      <c r="AM83" s="40">
        <f t="shared" si="52"/>
        <v>3273909.7331536617</v>
      </c>
      <c r="AN83" s="40">
        <f t="shared" si="52"/>
        <v>3142953.3438275154</v>
      </c>
      <c r="AO83" s="40">
        <f t="shared" si="52"/>
        <v>3011996.954501369</v>
      </c>
      <c r="AP83" s="40">
        <f t="shared" si="52"/>
        <v>2881040.5651752227</v>
      </c>
      <c r="AQ83" s="40">
        <f t="shared" si="52"/>
        <v>2750084.1758490764</v>
      </c>
      <c r="AR83" s="40">
        <f t="shared" si="52"/>
        <v>2619127.78652293</v>
      </c>
      <c r="AS83" s="40">
        <f t="shared" si="52"/>
        <v>2488171.3971967837</v>
      </c>
      <c r="AT83" s="40">
        <f t="shared" si="52"/>
        <v>2357215.0078706373</v>
      </c>
      <c r="AU83" s="40">
        <f t="shared" si="52"/>
        <v>2226258.618544491</v>
      </c>
      <c r="AV83" s="40">
        <f t="shared" si="52"/>
        <v>2095302.2292183444</v>
      </c>
      <c r="AW83" s="40">
        <f t="shared" si="52"/>
        <v>1964345.8398921979</v>
      </c>
    </row>
    <row r="84" spans="1:49" ht="8.1" customHeight="1" x14ac:dyDescent="0.2">
      <c r="D84" s="39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</row>
    <row r="85" spans="1:49" x14ac:dyDescent="0.2">
      <c r="B85" s="27">
        <f>+B82</f>
        <v>1</v>
      </c>
      <c r="C85" s="28">
        <f>+$D$7</f>
        <v>39</v>
      </c>
      <c r="D85" s="27">
        <f>+D82+1</f>
        <v>21</v>
      </c>
      <c r="E85" s="29" t="s">
        <v>27</v>
      </c>
      <c r="I85" s="35"/>
      <c r="J85" s="35"/>
      <c r="K85" s="35"/>
      <c r="L85" s="35"/>
      <c r="M85" s="35"/>
      <c r="N85" s="35"/>
      <c r="O85" s="35"/>
      <c r="P85" s="35"/>
      <c r="R85" s="35"/>
      <c r="S85" s="35"/>
      <c r="T85" s="35"/>
      <c r="U85" s="35"/>
      <c r="V85" s="35"/>
      <c r="W85" s="35"/>
      <c r="X85" s="35"/>
      <c r="Y85" s="35"/>
      <c r="Z85" s="29">
        <v>0</v>
      </c>
      <c r="AA85" s="35">
        <f>+$D86/$C85</f>
        <v>134885.0810059309</v>
      </c>
      <c r="AB85" s="35">
        <f t="shared" ref="AB85:AW85" si="53">+$D86/$C85</f>
        <v>134885.0810059309</v>
      </c>
      <c r="AC85" s="35">
        <f t="shared" si="53"/>
        <v>134885.0810059309</v>
      </c>
      <c r="AD85" s="35">
        <f t="shared" si="53"/>
        <v>134885.0810059309</v>
      </c>
      <c r="AE85" s="35">
        <f t="shared" si="53"/>
        <v>134885.0810059309</v>
      </c>
      <c r="AF85" s="35">
        <f t="shared" si="53"/>
        <v>134885.0810059309</v>
      </c>
      <c r="AG85" s="35">
        <f t="shared" si="53"/>
        <v>134885.0810059309</v>
      </c>
      <c r="AH85" s="35">
        <f t="shared" si="53"/>
        <v>134885.0810059309</v>
      </c>
      <c r="AI85" s="35">
        <f t="shared" si="53"/>
        <v>134885.0810059309</v>
      </c>
      <c r="AJ85" s="35">
        <f t="shared" si="53"/>
        <v>134885.0810059309</v>
      </c>
      <c r="AK85" s="35">
        <f t="shared" si="53"/>
        <v>134885.0810059309</v>
      </c>
      <c r="AL85" s="35">
        <f t="shared" si="53"/>
        <v>134885.0810059309</v>
      </c>
      <c r="AM85" s="35">
        <f t="shared" si="53"/>
        <v>134885.0810059309</v>
      </c>
      <c r="AN85" s="35">
        <f t="shared" si="53"/>
        <v>134885.0810059309</v>
      </c>
      <c r="AO85" s="35">
        <f t="shared" si="53"/>
        <v>134885.0810059309</v>
      </c>
      <c r="AP85" s="35">
        <f t="shared" si="53"/>
        <v>134885.0810059309</v>
      </c>
      <c r="AQ85" s="35">
        <f t="shared" si="53"/>
        <v>134885.0810059309</v>
      </c>
      <c r="AR85" s="35">
        <f t="shared" si="53"/>
        <v>134885.0810059309</v>
      </c>
      <c r="AS85" s="35">
        <f t="shared" si="53"/>
        <v>134885.0810059309</v>
      </c>
      <c r="AT85" s="35">
        <f t="shared" si="53"/>
        <v>134885.0810059309</v>
      </c>
      <c r="AU85" s="35">
        <f t="shared" si="53"/>
        <v>134885.0810059309</v>
      </c>
      <c r="AV85" s="35">
        <f t="shared" si="53"/>
        <v>134885.0810059309</v>
      </c>
      <c r="AW85" s="35">
        <f t="shared" si="53"/>
        <v>134885.0810059309</v>
      </c>
    </row>
    <row r="86" spans="1:49" x14ac:dyDescent="0.2">
      <c r="A86" s="27">
        <f>+A83</f>
        <v>1</v>
      </c>
      <c r="D86" s="39">
        <f>HLOOKUP(D85,$F$3:$AW$7,5)</f>
        <v>5260518.1592313051</v>
      </c>
      <c r="E86" s="29" t="s">
        <v>20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>
        <f>+$D86</f>
        <v>5260518.1592313051</v>
      </c>
      <c r="AA86" s="40">
        <f>+Z86-AA85</f>
        <v>5125633.0782253742</v>
      </c>
      <c r="AB86" s="40">
        <f t="shared" ref="AB86:AW86" si="54">+AA86-AB85</f>
        <v>4990747.9972194433</v>
      </c>
      <c r="AC86" s="40">
        <f t="shared" si="54"/>
        <v>4855862.9162135124</v>
      </c>
      <c r="AD86" s="40">
        <f t="shared" si="54"/>
        <v>4720977.8352075815</v>
      </c>
      <c r="AE86" s="40">
        <f t="shared" si="54"/>
        <v>4586092.7542016506</v>
      </c>
      <c r="AF86" s="40">
        <f t="shared" si="54"/>
        <v>4451207.6731957197</v>
      </c>
      <c r="AG86" s="40">
        <f t="shared" si="54"/>
        <v>4316322.5921897888</v>
      </c>
      <c r="AH86" s="40">
        <f t="shared" si="54"/>
        <v>4181437.5111838579</v>
      </c>
      <c r="AI86" s="40">
        <f t="shared" si="54"/>
        <v>4046552.430177927</v>
      </c>
      <c r="AJ86" s="40">
        <f t="shared" si="54"/>
        <v>3911667.3491719961</v>
      </c>
      <c r="AK86" s="40">
        <f t="shared" si="54"/>
        <v>3776782.2681660652</v>
      </c>
      <c r="AL86" s="40">
        <f t="shared" si="54"/>
        <v>3641897.1871601343</v>
      </c>
      <c r="AM86" s="40">
        <f t="shared" si="54"/>
        <v>3507012.1061542034</v>
      </c>
      <c r="AN86" s="40">
        <f t="shared" si="54"/>
        <v>3372127.0251482725</v>
      </c>
      <c r="AO86" s="40">
        <f t="shared" si="54"/>
        <v>3237241.9441423416</v>
      </c>
      <c r="AP86" s="40">
        <f t="shared" si="54"/>
        <v>3102356.8631364107</v>
      </c>
      <c r="AQ86" s="40">
        <f t="shared" si="54"/>
        <v>2967471.7821304798</v>
      </c>
      <c r="AR86" s="40">
        <f t="shared" si="54"/>
        <v>2832586.7011245489</v>
      </c>
      <c r="AS86" s="40">
        <f t="shared" si="54"/>
        <v>2697701.620118618</v>
      </c>
      <c r="AT86" s="40">
        <f t="shared" si="54"/>
        <v>2562816.5391126871</v>
      </c>
      <c r="AU86" s="40">
        <f t="shared" si="54"/>
        <v>2427931.4581067562</v>
      </c>
      <c r="AV86" s="40">
        <f t="shared" si="54"/>
        <v>2293046.3771008253</v>
      </c>
      <c r="AW86" s="40">
        <f t="shared" si="54"/>
        <v>2158161.2960948944</v>
      </c>
    </row>
    <row r="87" spans="1:49" ht="8.1" customHeight="1" x14ac:dyDescent="0.2">
      <c r="D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</row>
    <row r="88" spans="1:49" x14ac:dyDescent="0.2">
      <c r="B88" s="27">
        <f>+B85</f>
        <v>1</v>
      </c>
      <c r="C88" s="28">
        <f>+$D$7</f>
        <v>39</v>
      </c>
      <c r="D88" s="27">
        <f>+D85+1</f>
        <v>22</v>
      </c>
      <c r="E88" s="29" t="s">
        <v>27</v>
      </c>
      <c r="I88" s="35"/>
      <c r="J88" s="35"/>
      <c r="K88" s="35"/>
      <c r="L88" s="35"/>
      <c r="M88" s="35"/>
      <c r="N88" s="35"/>
      <c r="O88" s="35"/>
      <c r="P88" s="35"/>
      <c r="R88" s="35"/>
      <c r="S88" s="35"/>
      <c r="T88" s="35"/>
      <c r="U88" s="35"/>
      <c r="V88" s="35"/>
      <c r="W88" s="35"/>
      <c r="X88" s="35"/>
      <c r="Y88" s="35"/>
      <c r="AA88" s="29">
        <v>0</v>
      </c>
      <c r="AB88" s="35">
        <f>+$D89/$C88</f>
        <v>138931.63343610882</v>
      </c>
      <c r="AC88" s="35">
        <f t="shared" ref="AC88:AW88" si="55">+$D89/$C88</f>
        <v>138931.63343610882</v>
      </c>
      <c r="AD88" s="35">
        <f t="shared" si="55"/>
        <v>138931.63343610882</v>
      </c>
      <c r="AE88" s="35">
        <f t="shared" si="55"/>
        <v>138931.63343610882</v>
      </c>
      <c r="AF88" s="35">
        <f t="shared" si="55"/>
        <v>138931.63343610882</v>
      </c>
      <c r="AG88" s="35">
        <f t="shared" si="55"/>
        <v>138931.63343610882</v>
      </c>
      <c r="AH88" s="35">
        <f t="shared" si="55"/>
        <v>138931.63343610882</v>
      </c>
      <c r="AI88" s="35">
        <f t="shared" si="55"/>
        <v>138931.63343610882</v>
      </c>
      <c r="AJ88" s="35">
        <f t="shared" si="55"/>
        <v>138931.63343610882</v>
      </c>
      <c r="AK88" s="35">
        <f t="shared" si="55"/>
        <v>138931.63343610882</v>
      </c>
      <c r="AL88" s="35">
        <f t="shared" si="55"/>
        <v>138931.63343610882</v>
      </c>
      <c r="AM88" s="35">
        <f t="shared" si="55"/>
        <v>138931.63343610882</v>
      </c>
      <c r="AN88" s="35">
        <f t="shared" si="55"/>
        <v>138931.63343610882</v>
      </c>
      <c r="AO88" s="35">
        <f t="shared" si="55"/>
        <v>138931.63343610882</v>
      </c>
      <c r="AP88" s="35">
        <f t="shared" si="55"/>
        <v>138931.63343610882</v>
      </c>
      <c r="AQ88" s="35">
        <f t="shared" si="55"/>
        <v>138931.63343610882</v>
      </c>
      <c r="AR88" s="35">
        <f t="shared" si="55"/>
        <v>138931.63343610882</v>
      </c>
      <c r="AS88" s="35">
        <f t="shared" si="55"/>
        <v>138931.63343610882</v>
      </c>
      <c r="AT88" s="35">
        <f t="shared" si="55"/>
        <v>138931.63343610882</v>
      </c>
      <c r="AU88" s="35">
        <f t="shared" si="55"/>
        <v>138931.63343610882</v>
      </c>
      <c r="AV88" s="35">
        <f t="shared" si="55"/>
        <v>138931.63343610882</v>
      </c>
      <c r="AW88" s="35">
        <f t="shared" si="55"/>
        <v>138931.63343610882</v>
      </c>
    </row>
    <row r="89" spans="1:49" x14ac:dyDescent="0.2">
      <c r="A89" s="27">
        <f>+A86</f>
        <v>1</v>
      </c>
      <c r="D89" s="39">
        <f>HLOOKUP(D88,$F$3:$AW$7,5)</f>
        <v>5418333.704008244</v>
      </c>
      <c r="E89" s="29" t="s">
        <v>20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>
        <f>+$D89</f>
        <v>5418333.704008244</v>
      </c>
      <c r="AB89" s="40">
        <f>+AA89-AB88</f>
        <v>5279402.070572135</v>
      </c>
      <c r="AC89" s="40">
        <f t="shared" ref="AC89:AW89" si="56">+AB89-AC88</f>
        <v>5140470.4371360261</v>
      </c>
      <c r="AD89" s="40">
        <f t="shared" si="56"/>
        <v>5001538.8036999172</v>
      </c>
      <c r="AE89" s="40">
        <f t="shared" si="56"/>
        <v>4862607.1702638082</v>
      </c>
      <c r="AF89" s="40">
        <f t="shared" si="56"/>
        <v>4723675.5368276993</v>
      </c>
      <c r="AG89" s="40">
        <f t="shared" si="56"/>
        <v>4584743.9033915903</v>
      </c>
      <c r="AH89" s="40">
        <f t="shared" si="56"/>
        <v>4445812.2699554814</v>
      </c>
      <c r="AI89" s="40">
        <f t="shared" si="56"/>
        <v>4306880.6365193725</v>
      </c>
      <c r="AJ89" s="40">
        <f t="shared" si="56"/>
        <v>4167949.0030832635</v>
      </c>
      <c r="AK89" s="40">
        <f t="shared" si="56"/>
        <v>4029017.3696471546</v>
      </c>
      <c r="AL89" s="40">
        <f t="shared" si="56"/>
        <v>3890085.7362110456</v>
      </c>
      <c r="AM89" s="40">
        <f t="shared" si="56"/>
        <v>3751154.1027749367</v>
      </c>
      <c r="AN89" s="40">
        <f t="shared" si="56"/>
        <v>3612222.4693388278</v>
      </c>
      <c r="AO89" s="40">
        <f t="shared" si="56"/>
        <v>3473290.8359027188</v>
      </c>
      <c r="AP89" s="40">
        <f t="shared" si="56"/>
        <v>3334359.2024666099</v>
      </c>
      <c r="AQ89" s="40">
        <f t="shared" si="56"/>
        <v>3195427.5690305009</v>
      </c>
      <c r="AR89" s="40">
        <f t="shared" si="56"/>
        <v>3056495.935594392</v>
      </c>
      <c r="AS89" s="40">
        <f t="shared" si="56"/>
        <v>2917564.3021582831</v>
      </c>
      <c r="AT89" s="40">
        <f t="shared" si="56"/>
        <v>2778632.6687221741</v>
      </c>
      <c r="AU89" s="40">
        <f t="shared" si="56"/>
        <v>2639701.0352860652</v>
      </c>
      <c r="AV89" s="40">
        <f t="shared" si="56"/>
        <v>2500769.4018499563</v>
      </c>
      <c r="AW89" s="40">
        <f t="shared" si="56"/>
        <v>2361837.7684138473</v>
      </c>
    </row>
    <row r="90" spans="1:49" ht="8.1" customHeight="1" x14ac:dyDescent="0.2">
      <c r="D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</row>
    <row r="91" spans="1:49" x14ac:dyDescent="0.2">
      <c r="B91" s="27">
        <f>+B88</f>
        <v>1</v>
      </c>
      <c r="C91" s="28">
        <f>+$D$7</f>
        <v>39</v>
      </c>
      <c r="D91" s="27">
        <f>+D88+1</f>
        <v>23</v>
      </c>
      <c r="E91" s="29" t="s">
        <v>27</v>
      </c>
      <c r="I91" s="35"/>
      <c r="J91" s="35"/>
      <c r="K91" s="35"/>
      <c r="L91" s="35"/>
      <c r="M91" s="35"/>
      <c r="N91" s="35"/>
      <c r="O91" s="35"/>
      <c r="P91" s="35"/>
      <c r="R91" s="35"/>
      <c r="S91" s="35"/>
      <c r="T91" s="35"/>
      <c r="U91" s="35"/>
      <c r="V91" s="35"/>
      <c r="W91" s="35"/>
      <c r="X91" s="35"/>
      <c r="Y91" s="35"/>
      <c r="AB91" s="29">
        <v>0</v>
      </c>
      <c r="AC91" s="35">
        <f>+$D92/$C91</f>
        <v>143099.58243919211</v>
      </c>
      <c r="AD91" s="35">
        <f t="shared" ref="AD91:AW91" si="57">+$D92/$C91</f>
        <v>143099.58243919211</v>
      </c>
      <c r="AE91" s="35">
        <f t="shared" si="57"/>
        <v>143099.58243919211</v>
      </c>
      <c r="AF91" s="35">
        <f t="shared" si="57"/>
        <v>143099.58243919211</v>
      </c>
      <c r="AG91" s="35">
        <f t="shared" si="57"/>
        <v>143099.58243919211</v>
      </c>
      <c r="AH91" s="35">
        <f t="shared" si="57"/>
        <v>143099.58243919211</v>
      </c>
      <c r="AI91" s="35">
        <f t="shared" si="57"/>
        <v>143099.58243919211</v>
      </c>
      <c r="AJ91" s="35">
        <f t="shared" si="57"/>
        <v>143099.58243919211</v>
      </c>
      <c r="AK91" s="35">
        <f t="shared" si="57"/>
        <v>143099.58243919211</v>
      </c>
      <c r="AL91" s="35">
        <f t="shared" si="57"/>
        <v>143099.58243919211</v>
      </c>
      <c r="AM91" s="35">
        <f t="shared" si="57"/>
        <v>143099.58243919211</v>
      </c>
      <c r="AN91" s="35">
        <f t="shared" si="57"/>
        <v>143099.58243919211</v>
      </c>
      <c r="AO91" s="35">
        <f t="shared" si="57"/>
        <v>143099.58243919211</v>
      </c>
      <c r="AP91" s="35">
        <f t="shared" si="57"/>
        <v>143099.58243919211</v>
      </c>
      <c r="AQ91" s="35">
        <f t="shared" si="57"/>
        <v>143099.58243919211</v>
      </c>
      <c r="AR91" s="35">
        <f t="shared" si="57"/>
        <v>143099.58243919211</v>
      </c>
      <c r="AS91" s="35">
        <f t="shared" si="57"/>
        <v>143099.58243919211</v>
      </c>
      <c r="AT91" s="35">
        <f t="shared" si="57"/>
        <v>143099.58243919211</v>
      </c>
      <c r="AU91" s="35">
        <f t="shared" si="57"/>
        <v>143099.58243919211</v>
      </c>
      <c r="AV91" s="35">
        <f t="shared" si="57"/>
        <v>143099.58243919211</v>
      </c>
      <c r="AW91" s="35">
        <f t="shared" si="57"/>
        <v>143099.58243919211</v>
      </c>
    </row>
    <row r="92" spans="1:49" x14ac:dyDescent="0.2">
      <c r="A92" s="27">
        <f>+A89</f>
        <v>1</v>
      </c>
      <c r="D92" s="39">
        <f>HLOOKUP(D91,$F$3:$AW$7,5)</f>
        <v>5580883.7151284916</v>
      </c>
      <c r="E92" s="29" t="s">
        <v>20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B92" s="40">
        <f>+$D92</f>
        <v>5580883.7151284916</v>
      </c>
      <c r="AC92" s="40">
        <f>+AB92-AC91</f>
        <v>5437784.1326892991</v>
      </c>
      <c r="AD92" s="40">
        <f t="shared" ref="AD92:AW92" si="58">+AC92-AD91</f>
        <v>5294684.5502501074</v>
      </c>
      <c r="AE92" s="40">
        <f t="shared" si="58"/>
        <v>5151584.9678109158</v>
      </c>
      <c r="AF92" s="40">
        <f t="shared" si="58"/>
        <v>5008485.3853717241</v>
      </c>
      <c r="AG92" s="40">
        <f t="shared" si="58"/>
        <v>4865385.8029325325</v>
      </c>
      <c r="AH92" s="40">
        <f t="shared" si="58"/>
        <v>4722286.2204933409</v>
      </c>
      <c r="AI92" s="40">
        <f t="shared" si="58"/>
        <v>4579186.6380541492</v>
      </c>
      <c r="AJ92" s="40">
        <f t="shared" si="58"/>
        <v>4436087.0556149576</v>
      </c>
      <c r="AK92" s="40">
        <f t="shared" si="58"/>
        <v>4292987.4731757659</v>
      </c>
      <c r="AL92" s="40">
        <f t="shared" si="58"/>
        <v>4149887.8907365738</v>
      </c>
      <c r="AM92" s="40">
        <f t="shared" si="58"/>
        <v>4006788.3082973817</v>
      </c>
      <c r="AN92" s="40">
        <f t="shared" si="58"/>
        <v>3863688.7258581896</v>
      </c>
      <c r="AO92" s="40">
        <f t="shared" si="58"/>
        <v>3720589.1434189975</v>
      </c>
      <c r="AP92" s="40">
        <f t="shared" si="58"/>
        <v>3577489.5609798054</v>
      </c>
      <c r="AQ92" s="40">
        <f t="shared" si="58"/>
        <v>3434389.9785406133</v>
      </c>
      <c r="AR92" s="40">
        <f t="shared" si="58"/>
        <v>3291290.3961014212</v>
      </c>
      <c r="AS92" s="40">
        <f t="shared" si="58"/>
        <v>3148190.8136622291</v>
      </c>
      <c r="AT92" s="40">
        <f t="shared" si="58"/>
        <v>3005091.231223037</v>
      </c>
      <c r="AU92" s="40">
        <f t="shared" si="58"/>
        <v>2861991.6487838449</v>
      </c>
      <c r="AV92" s="40">
        <f t="shared" si="58"/>
        <v>2718892.0663446528</v>
      </c>
      <c r="AW92" s="40">
        <f t="shared" si="58"/>
        <v>2575792.4839054607</v>
      </c>
    </row>
    <row r="93" spans="1:49" ht="8.1" customHeight="1" x14ac:dyDescent="0.2">
      <c r="D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</row>
    <row r="94" spans="1:49" x14ac:dyDescent="0.2">
      <c r="B94" s="27">
        <f>+B91</f>
        <v>1</v>
      </c>
      <c r="C94" s="28">
        <f>+$D$7</f>
        <v>39</v>
      </c>
      <c r="D94" s="27">
        <f>+D91+1</f>
        <v>24</v>
      </c>
      <c r="E94" s="29" t="s">
        <v>27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AA94" s="35"/>
      <c r="AB94" s="35"/>
      <c r="AC94" s="29">
        <v>0</v>
      </c>
      <c r="AD94" s="35">
        <f>+$D95/$C94</f>
        <v>147392.56991236785</v>
      </c>
      <c r="AE94" s="35">
        <f t="shared" ref="AE94:AW94" si="59">+$D95/$C94</f>
        <v>147392.56991236785</v>
      </c>
      <c r="AF94" s="35">
        <f t="shared" si="59"/>
        <v>147392.56991236785</v>
      </c>
      <c r="AG94" s="35">
        <f t="shared" si="59"/>
        <v>147392.56991236785</v>
      </c>
      <c r="AH94" s="35">
        <f t="shared" si="59"/>
        <v>147392.56991236785</v>
      </c>
      <c r="AI94" s="35">
        <f t="shared" si="59"/>
        <v>147392.56991236785</v>
      </c>
      <c r="AJ94" s="35">
        <f t="shared" si="59"/>
        <v>147392.56991236785</v>
      </c>
      <c r="AK94" s="35">
        <f t="shared" si="59"/>
        <v>147392.56991236785</v>
      </c>
      <c r="AL94" s="35">
        <f t="shared" si="59"/>
        <v>147392.56991236785</v>
      </c>
      <c r="AM94" s="35">
        <f t="shared" si="59"/>
        <v>147392.56991236785</v>
      </c>
      <c r="AN94" s="35">
        <f t="shared" si="59"/>
        <v>147392.56991236785</v>
      </c>
      <c r="AO94" s="35">
        <f t="shared" si="59"/>
        <v>147392.56991236785</v>
      </c>
      <c r="AP94" s="35">
        <f t="shared" si="59"/>
        <v>147392.56991236785</v>
      </c>
      <c r="AQ94" s="35">
        <f t="shared" si="59"/>
        <v>147392.56991236785</v>
      </c>
      <c r="AR94" s="35">
        <f t="shared" si="59"/>
        <v>147392.56991236785</v>
      </c>
      <c r="AS94" s="35">
        <f t="shared" si="59"/>
        <v>147392.56991236785</v>
      </c>
      <c r="AT94" s="35">
        <f t="shared" si="59"/>
        <v>147392.56991236785</v>
      </c>
      <c r="AU94" s="35">
        <f t="shared" si="59"/>
        <v>147392.56991236785</v>
      </c>
      <c r="AV94" s="35">
        <f t="shared" si="59"/>
        <v>147392.56991236785</v>
      </c>
      <c r="AW94" s="35">
        <f t="shared" si="59"/>
        <v>147392.56991236785</v>
      </c>
    </row>
    <row r="95" spans="1:49" x14ac:dyDescent="0.2">
      <c r="A95" s="27">
        <f>+A92</f>
        <v>1</v>
      </c>
      <c r="D95" s="39">
        <f>HLOOKUP(D94,$F$3:$AW$7,5)</f>
        <v>5748310.2265823465</v>
      </c>
      <c r="E95" s="29" t="s">
        <v>20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>
        <f>+$D95</f>
        <v>5748310.2265823465</v>
      </c>
      <c r="AD95" s="40">
        <f>+AC95-AD94</f>
        <v>5600917.656669979</v>
      </c>
      <c r="AE95" s="40">
        <f t="shared" ref="AE95:AW95" si="60">+AD95-AE94</f>
        <v>5453525.0867576115</v>
      </c>
      <c r="AF95" s="40">
        <f t="shared" si="60"/>
        <v>5306132.516845244</v>
      </c>
      <c r="AG95" s="40">
        <f t="shared" si="60"/>
        <v>5158739.9469328765</v>
      </c>
      <c r="AH95" s="40">
        <f t="shared" si="60"/>
        <v>5011347.377020509</v>
      </c>
      <c r="AI95" s="40">
        <f t="shared" si="60"/>
        <v>4863954.8071081415</v>
      </c>
      <c r="AJ95" s="40">
        <f t="shared" si="60"/>
        <v>4716562.237195774</v>
      </c>
      <c r="AK95" s="40">
        <f t="shared" si="60"/>
        <v>4569169.6672834065</v>
      </c>
      <c r="AL95" s="40">
        <f t="shared" si="60"/>
        <v>4421777.097371039</v>
      </c>
      <c r="AM95" s="40">
        <f t="shared" si="60"/>
        <v>4274384.5274586715</v>
      </c>
      <c r="AN95" s="40">
        <f t="shared" si="60"/>
        <v>4126991.9575463035</v>
      </c>
      <c r="AO95" s="40">
        <f t="shared" si="60"/>
        <v>3979599.3876339355</v>
      </c>
      <c r="AP95" s="40">
        <f t="shared" si="60"/>
        <v>3832206.8177215676</v>
      </c>
      <c r="AQ95" s="40">
        <f t="shared" si="60"/>
        <v>3684814.2478091996</v>
      </c>
      <c r="AR95" s="40">
        <f t="shared" si="60"/>
        <v>3537421.6778968317</v>
      </c>
      <c r="AS95" s="40">
        <f t="shared" si="60"/>
        <v>3390029.1079844637</v>
      </c>
      <c r="AT95" s="40">
        <f t="shared" si="60"/>
        <v>3242636.5380720957</v>
      </c>
      <c r="AU95" s="40">
        <f t="shared" si="60"/>
        <v>3095243.9681597278</v>
      </c>
      <c r="AV95" s="40">
        <f t="shared" si="60"/>
        <v>2947851.3982473598</v>
      </c>
      <c r="AW95" s="40">
        <f t="shared" si="60"/>
        <v>2800458.8283349918</v>
      </c>
    </row>
    <row r="96" spans="1:49" ht="8.1" customHeight="1" x14ac:dyDescent="0.2">
      <c r="D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</row>
    <row r="97" spans="1:49" x14ac:dyDescent="0.2">
      <c r="B97" s="27">
        <f>+B94</f>
        <v>1</v>
      </c>
      <c r="C97" s="28">
        <f>+$D$7</f>
        <v>39</v>
      </c>
      <c r="D97" s="27">
        <f>+D94+1</f>
        <v>25</v>
      </c>
      <c r="E97" s="29" t="s">
        <v>27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AA97" s="35"/>
      <c r="AB97" s="35"/>
      <c r="AD97" s="29">
        <v>0</v>
      </c>
      <c r="AE97" s="35">
        <f>+$D98/$C97</f>
        <v>151814.34700973891</v>
      </c>
      <c r="AF97" s="35">
        <f t="shared" ref="AF97:AW97" si="61">+$D98/$C97</f>
        <v>151814.34700973891</v>
      </c>
      <c r="AG97" s="35">
        <f t="shared" si="61"/>
        <v>151814.34700973891</v>
      </c>
      <c r="AH97" s="35">
        <f t="shared" si="61"/>
        <v>151814.34700973891</v>
      </c>
      <c r="AI97" s="35">
        <f t="shared" si="61"/>
        <v>151814.34700973891</v>
      </c>
      <c r="AJ97" s="35">
        <f t="shared" si="61"/>
        <v>151814.34700973891</v>
      </c>
      <c r="AK97" s="35">
        <f t="shared" si="61"/>
        <v>151814.34700973891</v>
      </c>
      <c r="AL97" s="35">
        <f t="shared" si="61"/>
        <v>151814.34700973891</v>
      </c>
      <c r="AM97" s="35">
        <f t="shared" si="61"/>
        <v>151814.34700973891</v>
      </c>
      <c r="AN97" s="35">
        <f t="shared" si="61"/>
        <v>151814.34700973891</v>
      </c>
      <c r="AO97" s="35">
        <f t="shared" si="61"/>
        <v>151814.34700973891</v>
      </c>
      <c r="AP97" s="35">
        <f t="shared" si="61"/>
        <v>151814.34700973891</v>
      </c>
      <c r="AQ97" s="35">
        <f t="shared" si="61"/>
        <v>151814.34700973891</v>
      </c>
      <c r="AR97" s="35">
        <f t="shared" si="61"/>
        <v>151814.34700973891</v>
      </c>
      <c r="AS97" s="35">
        <f t="shared" si="61"/>
        <v>151814.34700973891</v>
      </c>
      <c r="AT97" s="35">
        <f t="shared" si="61"/>
        <v>151814.34700973891</v>
      </c>
      <c r="AU97" s="35">
        <f t="shared" si="61"/>
        <v>151814.34700973891</v>
      </c>
      <c r="AV97" s="35">
        <f t="shared" si="61"/>
        <v>151814.34700973891</v>
      </c>
      <c r="AW97" s="35">
        <f t="shared" si="61"/>
        <v>151814.34700973891</v>
      </c>
    </row>
    <row r="98" spans="1:49" x14ac:dyDescent="0.2">
      <c r="A98" s="27">
        <f>+A95</f>
        <v>1</v>
      </c>
      <c r="D98" s="39">
        <f>HLOOKUP(D97,$F$3:$AW$7,5)</f>
        <v>5920759.5333798174</v>
      </c>
      <c r="E98" s="29" t="s">
        <v>20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D98" s="40">
        <f>+$D98</f>
        <v>5920759.5333798174</v>
      </c>
      <c r="AE98" s="40">
        <f>+AD98-AE97</f>
        <v>5768945.1863700785</v>
      </c>
      <c r="AF98" s="40">
        <f t="shared" ref="AF98:AW98" si="62">+AE98-AF97</f>
        <v>5617130.8393603396</v>
      </c>
      <c r="AG98" s="40">
        <f t="shared" si="62"/>
        <v>5465316.4923506007</v>
      </c>
      <c r="AH98" s="40">
        <f t="shared" si="62"/>
        <v>5313502.1453408618</v>
      </c>
      <c r="AI98" s="40">
        <f t="shared" si="62"/>
        <v>5161687.7983311228</v>
      </c>
      <c r="AJ98" s="40">
        <f t="shared" si="62"/>
        <v>5009873.4513213839</v>
      </c>
      <c r="AK98" s="40">
        <f t="shared" si="62"/>
        <v>4858059.104311645</v>
      </c>
      <c r="AL98" s="40">
        <f t="shared" si="62"/>
        <v>4706244.7573019061</v>
      </c>
      <c r="AM98" s="40">
        <f t="shared" si="62"/>
        <v>4554430.4102921672</v>
      </c>
      <c r="AN98" s="40">
        <f t="shared" si="62"/>
        <v>4402616.0632824283</v>
      </c>
      <c r="AO98" s="40">
        <f t="shared" si="62"/>
        <v>4250801.7162726894</v>
      </c>
      <c r="AP98" s="40">
        <f t="shared" si="62"/>
        <v>4098987.3692629505</v>
      </c>
      <c r="AQ98" s="40">
        <f t="shared" si="62"/>
        <v>3947173.0222532116</v>
      </c>
      <c r="AR98" s="40">
        <f t="shared" si="62"/>
        <v>3795358.6752434727</v>
      </c>
      <c r="AS98" s="40">
        <f t="shared" si="62"/>
        <v>3643544.3282337338</v>
      </c>
      <c r="AT98" s="40">
        <f t="shared" si="62"/>
        <v>3491729.9812239949</v>
      </c>
      <c r="AU98" s="40">
        <f t="shared" si="62"/>
        <v>3339915.634214256</v>
      </c>
      <c r="AV98" s="40">
        <f t="shared" si="62"/>
        <v>3188101.2872045171</v>
      </c>
      <c r="AW98" s="40">
        <f t="shared" si="62"/>
        <v>3036286.9401947781</v>
      </c>
    </row>
    <row r="99" spans="1:49" ht="8.1" customHeight="1" x14ac:dyDescent="0.2">
      <c r="D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</row>
    <row r="100" spans="1:49" x14ac:dyDescent="0.2">
      <c r="B100" s="27">
        <f>+B97</f>
        <v>1</v>
      </c>
      <c r="C100" s="28">
        <f>+$D$7</f>
        <v>39</v>
      </c>
      <c r="D100" s="27">
        <f>+D97+1</f>
        <v>26</v>
      </c>
      <c r="E100" s="29" t="s">
        <v>27</v>
      </c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AA100" s="35"/>
      <c r="AB100" s="35"/>
      <c r="AC100" s="35"/>
      <c r="AD100" s="35"/>
      <c r="AE100" s="29">
        <v>0</v>
      </c>
      <c r="AF100" s="35">
        <f>+$D101/$C100</f>
        <v>156368.77742003108</v>
      </c>
      <c r="AG100" s="35">
        <f t="shared" ref="AG100:AW100" si="63">+$D101/$C100</f>
        <v>156368.77742003108</v>
      </c>
      <c r="AH100" s="35">
        <f t="shared" si="63"/>
        <v>156368.77742003108</v>
      </c>
      <c r="AI100" s="35">
        <f t="shared" si="63"/>
        <v>156368.77742003108</v>
      </c>
      <c r="AJ100" s="35">
        <f t="shared" si="63"/>
        <v>156368.77742003108</v>
      </c>
      <c r="AK100" s="35">
        <f t="shared" si="63"/>
        <v>156368.77742003108</v>
      </c>
      <c r="AL100" s="35">
        <f t="shared" si="63"/>
        <v>156368.77742003108</v>
      </c>
      <c r="AM100" s="35">
        <f t="shared" si="63"/>
        <v>156368.77742003108</v>
      </c>
      <c r="AN100" s="35">
        <f t="shared" si="63"/>
        <v>156368.77742003108</v>
      </c>
      <c r="AO100" s="35">
        <f t="shared" si="63"/>
        <v>156368.77742003108</v>
      </c>
      <c r="AP100" s="35">
        <f t="shared" si="63"/>
        <v>156368.77742003108</v>
      </c>
      <c r="AQ100" s="35">
        <f t="shared" si="63"/>
        <v>156368.77742003108</v>
      </c>
      <c r="AR100" s="35">
        <f t="shared" si="63"/>
        <v>156368.77742003108</v>
      </c>
      <c r="AS100" s="35">
        <f t="shared" si="63"/>
        <v>156368.77742003108</v>
      </c>
      <c r="AT100" s="35">
        <f t="shared" si="63"/>
        <v>156368.77742003108</v>
      </c>
      <c r="AU100" s="35">
        <f t="shared" si="63"/>
        <v>156368.77742003108</v>
      </c>
      <c r="AV100" s="35">
        <f t="shared" si="63"/>
        <v>156368.77742003108</v>
      </c>
      <c r="AW100" s="35">
        <f t="shared" si="63"/>
        <v>156368.77742003108</v>
      </c>
    </row>
    <row r="101" spans="1:49" x14ac:dyDescent="0.2">
      <c r="A101" s="27">
        <f>+A98</f>
        <v>1</v>
      </c>
      <c r="D101" s="39">
        <f>HLOOKUP(D100,$F$3:$AW$7,5)</f>
        <v>6098382.3193812119</v>
      </c>
      <c r="E101" s="29" t="s">
        <v>20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>
        <f>+$D101</f>
        <v>6098382.3193812119</v>
      </c>
      <c r="AF101" s="40">
        <f>+AE101-AF100</f>
        <v>5942013.541961181</v>
      </c>
      <c r="AG101" s="40">
        <f t="shared" ref="AG101:AW101" si="64">+AF101-AG100</f>
        <v>5785644.7645411501</v>
      </c>
      <c r="AH101" s="40">
        <f t="shared" si="64"/>
        <v>5629275.9871211192</v>
      </c>
      <c r="AI101" s="40">
        <f t="shared" si="64"/>
        <v>5472907.2097010883</v>
      </c>
      <c r="AJ101" s="40">
        <f t="shared" si="64"/>
        <v>5316538.4322810574</v>
      </c>
      <c r="AK101" s="40">
        <f t="shared" si="64"/>
        <v>5160169.6548610264</v>
      </c>
      <c r="AL101" s="40">
        <f t="shared" si="64"/>
        <v>5003800.8774409955</v>
      </c>
      <c r="AM101" s="40">
        <f t="shared" si="64"/>
        <v>4847432.1000209646</v>
      </c>
      <c r="AN101" s="40">
        <f t="shared" si="64"/>
        <v>4691063.3226009337</v>
      </c>
      <c r="AO101" s="40">
        <f t="shared" si="64"/>
        <v>4534694.5451809028</v>
      </c>
      <c r="AP101" s="40">
        <f t="shared" si="64"/>
        <v>4378325.7677608719</v>
      </c>
      <c r="AQ101" s="40">
        <f t="shared" si="64"/>
        <v>4221956.990340841</v>
      </c>
      <c r="AR101" s="40">
        <f t="shared" si="64"/>
        <v>4065588.2129208101</v>
      </c>
      <c r="AS101" s="40">
        <f t="shared" si="64"/>
        <v>3909219.4355007792</v>
      </c>
      <c r="AT101" s="40">
        <f t="shared" si="64"/>
        <v>3752850.6580807483</v>
      </c>
      <c r="AU101" s="40">
        <f t="shared" si="64"/>
        <v>3596481.8806607174</v>
      </c>
      <c r="AV101" s="40">
        <f t="shared" si="64"/>
        <v>3440113.1032406865</v>
      </c>
      <c r="AW101" s="40">
        <f t="shared" si="64"/>
        <v>3283744.3258206556</v>
      </c>
    </row>
    <row r="102" spans="1:49" ht="8.1" customHeight="1" x14ac:dyDescent="0.2">
      <c r="D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</row>
    <row r="103" spans="1:49" x14ac:dyDescent="0.2">
      <c r="B103" s="27">
        <f>+B100</f>
        <v>1</v>
      </c>
      <c r="C103" s="28">
        <f>+$D$7</f>
        <v>39</v>
      </c>
      <c r="D103" s="27">
        <f>+D100+1</f>
        <v>27</v>
      </c>
      <c r="E103" s="29" t="s">
        <v>27</v>
      </c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AA103" s="35"/>
      <c r="AB103" s="35"/>
      <c r="AC103" s="35"/>
      <c r="AD103" s="35"/>
      <c r="AF103" s="29">
        <v>0</v>
      </c>
      <c r="AG103" s="35">
        <f>+$D104/$C103</f>
        <v>161059.84074263202</v>
      </c>
      <c r="AH103" s="35">
        <f t="shared" ref="AH103:AW103" si="65">+$D104/$C103</f>
        <v>161059.84074263202</v>
      </c>
      <c r="AI103" s="35">
        <f t="shared" si="65"/>
        <v>161059.84074263202</v>
      </c>
      <c r="AJ103" s="35">
        <f t="shared" si="65"/>
        <v>161059.84074263202</v>
      </c>
      <c r="AK103" s="35">
        <f t="shared" si="65"/>
        <v>161059.84074263202</v>
      </c>
      <c r="AL103" s="35">
        <f t="shared" si="65"/>
        <v>161059.84074263202</v>
      </c>
      <c r="AM103" s="35">
        <f t="shared" si="65"/>
        <v>161059.84074263202</v>
      </c>
      <c r="AN103" s="35">
        <f t="shared" si="65"/>
        <v>161059.84074263202</v>
      </c>
      <c r="AO103" s="35">
        <f t="shared" si="65"/>
        <v>161059.84074263202</v>
      </c>
      <c r="AP103" s="35">
        <f t="shared" si="65"/>
        <v>161059.84074263202</v>
      </c>
      <c r="AQ103" s="35">
        <f t="shared" si="65"/>
        <v>161059.84074263202</v>
      </c>
      <c r="AR103" s="35">
        <f t="shared" si="65"/>
        <v>161059.84074263202</v>
      </c>
      <c r="AS103" s="35">
        <f t="shared" si="65"/>
        <v>161059.84074263202</v>
      </c>
      <c r="AT103" s="35">
        <f t="shared" si="65"/>
        <v>161059.84074263202</v>
      </c>
      <c r="AU103" s="35">
        <f t="shared" si="65"/>
        <v>161059.84074263202</v>
      </c>
      <c r="AV103" s="35">
        <f t="shared" si="65"/>
        <v>161059.84074263202</v>
      </c>
      <c r="AW103" s="35">
        <f t="shared" si="65"/>
        <v>161059.84074263202</v>
      </c>
    </row>
    <row r="104" spans="1:49" x14ac:dyDescent="0.2">
      <c r="A104" s="27">
        <f>+A101</f>
        <v>1</v>
      </c>
      <c r="D104" s="39">
        <f>HLOOKUP(D103,$F$3:$AW$7,5)</f>
        <v>6281333.7889626483</v>
      </c>
      <c r="E104" s="29" t="s">
        <v>20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F104" s="40">
        <f>+$D104</f>
        <v>6281333.7889626483</v>
      </c>
      <c r="AG104" s="40">
        <f>+AF104-AG103</f>
        <v>6120273.9482200164</v>
      </c>
      <c r="AH104" s="40">
        <f t="shared" ref="AH104:AW104" si="66">+AG104-AH103</f>
        <v>5959214.1074773846</v>
      </c>
      <c r="AI104" s="40">
        <f t="shared" si="66"/>
        <v>5798154.2667347528</v>
      </c>
      <c r="AJ104" s="40">
        <f t="shared" si="66"/>
        <v>5637094.425992121</v>
      </c>
      <c r="AK104" s="40">
        <f t="shared" si="66"/>
        <v>5476034.5852494892</v>
      </c>
      <c r="AL104" s="40">
        <f t="shared" si="66"/>
        <v>5314974.7445068574</v>
      </c>
      <c r="AM104" s="40">
        <f t="shared" si="66"/>
        <v>5153914.9037642255</v>
      </c>
      <c r="AN104" s="40">
        <f t="shared" si="66"/>
        <v>4992855.0630215937</v>
      </c>
      <c r="AO104" s="40">
        <f t="shared" si="66"/>
        <v>4831795.2222789619</v>
      </c>
      <c r="AP104" s="40">
        <f t="shared" si="66"/>
        <v>4670735.3815363301</v>
      </c>
      <c r="AQ104" s="40">
        <f t="shared" si="66"/>
        <v>4509675.5407936983</v>
      </c>
      <c r="AR104" s="40">
        <f t="shared" si="66"/>
        <v>4348615.7000510665</v>
      </c>
      <c r="AS104" s="40">
        <f t="shared" si="66"/>
        <v>4187555.8593084347</v>
      </c>
      <c r="AT104" s="40">
        <f t="shared" si="66"/>
        <v>4026496.0185658028</v>
      </c>
      <c r="AU104" s="40">
        <f t="shared" si="66"/>
        <v>3865436.177823171</v>
      </c>
      <c r="AV104" s="40">
        <f t="shared" si="66"/>
        <v>3704376.3370805392</v>
      </c>
      <c r="AW104" s="40">
        <f t="shared" si="66"/>
        <v>3543316.4963379074</v>
      </c>
    </row>
    <row r="105" spans="1:49" ht="8.1" customHeight="1" x14ac:dyDescent="0.2">
      <c r="D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</row>
    <row r="106" spans="1:49" x14ac:dyDescent="0.2">
      <c r="B106" s="27">
        <f>+B103</f>
        <v>1</v>
      </c>
      <c r="C106" s="28">
        <f>+$D$7</f>
        <v>39</v>
      </c>
      <c r="D106" s="27">
        <f>+D103+1</f>
        <v>28</v>
      </c>
      <c r="E106" s="29" t="s">
        <v>27</v>
      </c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AA106" s="35"/>
      <c r="AB106" s="35"/>
      <c r="AC106" s="35"/>
      <c r="AD106" s="35"/>
      <c r="AE106" s="35"/>
      <c r="AF106" s="35"/>
      <c r="AG106" s="29">
        <v>0</v>
      </c>
      <c r="AH106" s="35">
        <f>+$D107/$C106</f>
        <v>165891.63596491097</v>
      </c>
      <c r="AI106" s="35">
        <f t="shared" ref="AI106:AW106" si="67">+$D107/$C106</f>
        <v>165891.63596491097</v>
      </c>
      <c r="AJ106" s="35">
        <f t="shared" si="67"/>
        <v>165891.63596491097</v>
      </c>
      <c r="AK106" s="35">
        <f t="shared" si="67"/>
        <v>165891.63596491097</v>
      </c>
      <c r="AL106" s="35">
        <f t="shared" si="67"/>
        <v>165891.63596491097</v>
      </c>
      <c r="AM106" s="35">
        <f t="shared" si="67"/>
        <v>165891.63596491097</v>
      </c>
      <c r="AN106" s="35">
        <f t="shared" si="67"/>
        <v>165891.63596491097</v>
      </c>
      <c r="AO106" s="35">
        <f t="shared" si="67"/>
        <v>165891.63596491097</v>
      </c>
      <c r="AP106" s="35">
        <f t="shared" si="67"/>
        <v>165891.63596491097</v>
      </c>
      <c r="AQ106" s="35">
        <f t="shared" si="67"/>
        <v>165891.63596491097</v>
      </c>
      <c r="AR106" s="35">
        <f t="shared" si="67"/>
        <v>165891.63596491097</v>
      </c>
      <c r="AS106" s="35">
        <f t="shared" si="67"/>
        <v>165891.63596491097</v>
      </c>
      <c r="AT106" s="35">
        <f t="shared" si="67"/>
        <v>165891.63596491097</v>
      </c>
      <c r="AU106" s="35">
        <f t="shared" si="67"/>
        <v>165891.63596491097</v>
      </c>
      <c r="AV106" s="35">
        <f t="shared" si="67"/>
        <v>165891.63596491097</v>
      </c>
      <c r="AW106" s="35">
        <f t="shared" si="67"/>
        <v>165891.63596491097</v>
      </c>
    </row>
    <row r="107" spans="1:49" x14ac:dyDescent="0.2">
      <c r="A107" s="27">
        <f>+A104</f>
        <v>1</v>
      </c>
      <c r="D107" s="39">
        <f>HLOOKUP(D106,$F$3:$AW$7,5)</f>
        <v>6469773.8026315281</v>
      </c>
      <c r="E107" s="29" t="s">
        <v>20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>
        <f>+$D107</f>
        <v>6469773.8026315281</v>
      </c>
      <c r="AH107" s="40">
        <f>+AG107-AH106</f>
        <v>6303882.1666666176</v>
      </c>
      <c r="AI107" s="40">
        <f t="shared" ref="AI107:AW107" si="68">+AH107-AI106</f>
        <v>6137990.5307017062</v>
      </c>
      <c r="AJ107" s="40">
        <f t="shared" si="68"/>
        <v>5972098.8947367948</v>
      </c>
      <c r="AK107" s="40">
        <f t="shared" si="68"/>
        <v>5806207.2587718833</v>
      </c>
      <c r="AL107" s="40">
        <f t="shared" si="68"/>
        <v>5640315.6228069719</v>
      </c>
      <c r="AM107" s="40">
        <f t="shared" si="68"/>
        <v>5474423.9868420605</v>
      </c>
      <c r="AN107" s="40">
        <f t="shared" si="68"/>
        <v>5308532.350877149</v>
      </c>
      <c r="AO107" s="40">
        <f t="shared" si="68"/>
        <v>5142640.7149122376</v>
      </c>
      <c r="AP107" s="40">
        <f t="shared" si="68"/>
        <v>4976749.0789473262</v>
      </c>
      <c r="AQ107" s="40">
        <f t="shared" si="68"/>
        <v>4810857.4429824147</v>
      </c>
      <c r="AR107" s="40">
        <f t="shared" si="68"/>
        <v>4644965.8070175033</v>
      </c>
      <c r="AS107" s="40">
        <f t="shared" si="68"/>
        <v>4479074.1710525919</v>
      </c>
      <c r="AT107" s="40">
        <f t="shared" si="68"/>
        <v>4313182.5350876804</v>
      </c>
      <c r="AU107" s="40">
        <f t="shared" si="68"/>
        <v>4147290.8991227695</v>
      </c>
      <c r="AV107" s="40">
        <f t="shared" si="68"/>
        <v>3981399.2631578585</v>
      </c>
      <c r="AW107" s="40">
        <f t="shared" si="68"/>
        <v>3815507.6271929475</v>
      </c>
    </row>
    <row r="108" spans="1:49" ht="8.1" customHeight="1" x14ac:dyDescent="0.2">
      <c r="D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</row>
    <row r="109" spans="1:49" x14ac:dyDescent="0.2">
      <c r="B109" s="27">
        <f>+B106</f>
        <v>1</v>
      </c>
      <c r="C109" s="28">
        <f>+$D$7</f>
        <v>39</v>
      </c>
      <c r="D109" s="27">
        <f>+D106+1</f>
        <v>29</v>
      </c>
      <c r="E109" s="29" t="s">
        <v>27</v>
      </c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AA109" s="35"/>
      <c r="AB109" s="35"/>
      <c r="AC109" s="35"/>
      <c r="AD109" s="35"/>
      <c r="AE109" s="35"/>
      <c r="AF109" s="35"/>
      <c r="AH109" s="29">
        <v>0</v>
      </c>
      <c r="AI109" s="35">
        <f>+$D110/$C109</f>
        <v>170868.38504385832</v>
      </c>
      <c r="AJ109" s="35">
        <f t="shared" ref="AJ109:AW109" si="69">+$D110/$C109</f>
        <v>170868.38504385832</v>
      </c>
      <c r="AK109" s="35">
        <f t="shared" si="69"/>
        <v>170868.38504385832</v>
      </c>
      <c r="AL109" s="35">
        <f t="shared" si="69"/>
        <v>170868.38504385832</v>
      </c>
      <c r="AM109" s="35">
        <f t="shared" si="69"/>
        <v>170868.38504385832</v>
      </c>
      <c r="AN109" s="35">
        <f t="shared" si="69"/>
        <v>170868.38504385832</v>
      </c>
      <c r="AO109" s="35">
        <f t="shared" si="69"/>
        <v>170868.38504385832</v>
      </c>
      <c r="AP109" s="35">
        <f t="shared" si="69"/>
        <v>170868.38504385832</v>
      </c>
      <c r="AQ109" s="35">
        <f t="shared" si="69"/>
        <v>170868.38504385832</v>
      </c>
      <c r="AR109" s="35">
        <f t="shared" si="69"/>
        <v>170868.38504385832</v>
      </c>
      <c r="AS109" s="35">
        <f t="shared" si="69"/>
        <v>170868.38504385832</v>
      </c>
      <c r="AT109" s="35">
        <f t="shared" si="69"/>
        <v>170868.38504385832</v>
      </c>
      <c r="AU109" s="35">
        <f t="shared" si="69"/>
        <v>170868.38504385832</v>
      </c>
      <c r="AV109" s="35">
        <f t="shared" si="69"/>
        <v>170868.38504385832</v>
      </c>
      <c r="AW109" s="35">
        <f t="shared" si="69"/>
        <v>170868.38504385832</v>
      </c>
    </row>
    <row r="110" spans="1:49" x14ac:dyDescent="0.2">
      <c r="A110" s="27">
        <f>+A107</f>
        <v>1</v>
      </c>
      <c r="D110" s="39">
        <f>HLOOKUP(D109,$F$3:$AW$7,5)</f>
        <v>6663867.0167104742</v>
      </c>
      <c r="E110" s="29" t="s">
        <v>20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H110" s="40">
        <f>+$D110</f>
        <v>6663867.0167104742</v>
      </c>
      <c r="AI110" s="40">
        <f>+AH110-AI109</f>
        <v>6492998.6316666156</v>
      </c>
      <c r="AJ110" s="40">
        <f t="shared" ref="AJ110:AW110" si="70">+AI110-AJ109</f>
        <v>6322130.2466227571</v>
      </c>
      <c r="AK110" s="40">
        <f t="shared" si="70"/>
        <v>6151261.8615788985</v>
      </c>
      <c r="AL110" s="40">
        <f t="shared" si="70"/>
        <v>5980393.47653504</v>
      </c>
      <c r="AM110" s="40">
        <f t="shared" si="70"/>
        <v>5809525.0914911814</v>
      </c>
      <c r="AN110" s="40">
        <f t="shared" si="70"/>
        <v>5638656.7064473229</v>
      </c>
      <c r="AO110" s="40">
        <f t="shared" si="70"/>
        <v>5467788.3214034643</v>
      </c>
      <c r="AP110" s="40">
        <f t="shared" si="70"/>
        <v>5296919.9363596058</v>
      </c>
      <c r="AQ110" s="40">
        <f t="shared" si="70"/>
        <v>5126051.5513157472</v>
      </c>
      <c r="AR110" s="40">
        <f t="shared" si="70"/>
        <v>4955183.1662718887</v>
      </c>
      <c r="AS110" s="40">
        <f t="shared" si="70"/>
        <v>4784314.7812280301</v>
      </c>
      <c r="AT110" s="40">
        <f t="shared" si="70"/>
        <v>4613446.3961841715</v>
      </c>
      <c r="AU110" s="40">
        <f t="shared" si="70"/>
        <v>4442578.011140313</v>
      </c>
      <c r="AV110" s="40">
        <f t="shared" si="70"/>
        <v>4271709.6260964544</v>
      </c>
      <c r="AW110" s="40">
        <f t="shared" si="70"/>
        <v>4100841.2410525959</v>
      </c>
    </row>
    <row r="111" spans="1:49" ht="8.1" customHeight="1" x14ac:dyDescent="0.2">
      <c r="D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</row>
    <row r="112" spans="1:49" x14ac:dyDescent="0.2">
      <c r="B112" s="27">
        <f>+B109</f>
        <v>1</v>
      </c>
      <c r="C112" s="28">
        <f>+$D$7</f>
        <v>39</v>
      </c>
      <c r="D112" s="27">
        <f>+D109+1</f>
        <v>30</v>
      </c>
      <c r="E112" s="29" t="s">
        <v>27</v>
      </c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AA112" s="35"/>
      <c r="AB112" s="35"/>
      <c r="AC112" s="35"/>
      <c r="AD112" s="35"/>
      <c r="AE112" s="35"/>
      <c r="AF112" s="35"/>
      <c r="AG112" s="35"/>
      <c r="AH112" s="35"/>
      <c r="AI112" s="29">
        <v>0</v>
      </c>
      <c r="AJ112" s="35">
        <f>+$D113/$C112</f>
        <v>175994.43659517405</v>
      </c>
      <c r="AK112" s="35">
        <f t="shared" ref="AK112:AW112" si="71">+$D113/$C112</f>
        <v>175994.43659517405</v>
      </c>
      <c r="AL112" s="35">
        <f t="shared" si="71"/>
        <v>175994.43659517405</v>
      </c>
      <c r="AM112" s="35">
        <f t="shared" si="71"/>
        <v>175994.43659517405</v>
      </c>
      <c r="AN112" s="35">
        <f t="shared" si="71"/>
        <v>175994.43659517405</v>
      </c>
      <c r="AO112" s="35">
        <f t="shared" si="71"/>
        <v>175994.43659517405</v>
      </c>
      <c r="AP112" s="35">
        <f t="shared" si="71"/>
        <v>175994.43659517405</v>
      </c>
      <c r="AQ112" s="35">
        <f t="shared" si="71"/>
        <v>175994.43659517405</v>
      </c>
      <c r="AR112" s="35">
        <f t="shared" si="71"/>
        <v>175994.43659517405</v>
      </c>
      <c r="AS112" s="35">
        <f t="shared" si="71"/>
        <v>175994.43659517405</v>
      </c>
      <c r="AT112" s="35">
        <f t="shared" si="71"/>
        <v>175994.43659517405</v>
      </c>
      <c r="AU112" s="35">
        <f t="shared" si="71"/>
        <v>175994.43659517405</v>
      </c>
      <c r="AV112" s="35">
        <f t="shared" si="71"/>
        <v>175994.43659517405</v>
      </c>
      <c r="AW112" s="35">
        <f t="shared" si="71"/>
        <v>175994.43659517405</v>
      </c>
    </row>
    <row r="113" spans="1:49" x14ac:dyDescent="0.2">
      <c r="A113" s="27">
        <f>+A110</f>
        <v>1</v>
      </c>
      <c r="D113" s="39">
        <f>HLOOKUP(D112,$F$3:$AW$7,5)</f>
        <v>6863783.0272117881</v>
      </c>
      <c r="E113" s="29" t="s">
        <v>20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>
        <f>+$D113</f>
        <v>6863783.0272117881</v>
      </c>
      <c r="AJ113" s="40">
        <f>+AI113-AJ112</f>
        <v>6687788.5906166136</v>
      </c>
      <c r="AK113" s="40">
        <f t="shared" ref="AK113:AW113" si="72">+AJ113-AK112</f>
        <v>6511794.1540214391</v>
      </c>
      <c r="AL113" s="40">
        <f t="shared" si="72"/>
        <v>6335799.7174262647</v>
      </c>
      <c r="AM113" s="40">
        <f t="shared" si="72"/>
        <v>6159805.2808310902</v>
      </c>
      <c r="AN113" s="40">
        <f t="shared" si="72"/>
        <v>5983810.8442359157</v>
      </c>
      <c r="AO113" s="40">
        <f t="shared" si="72"/>
        <v>5807816.4076407412</v>
      </c>
      <c r="AP113" s="40">
        <f t="shared" si="72"/>
        <v>5631821.9710455667</v>
      </c>
      <c r="AQ113" s="40">
        <f t="shared" si="72"/>
        <v>5455827.5344503922</v>
      </c>
      <c r="AR113" s="40">
        <f t="shared" si="72"/>
        <v>5279833.0978552178</v>
      </c>
      <c r="AS113" s="40">
        <f t="shared" si="72"/>
        <v>5103838.6612600433</v>
      </c>
      <c r="AT113" s="40">
        <f t="shared" si="72"/>
        <v>4927844.2246648688</v>
      </c>
      <c r="AU113" s="40">
        <f t="shared" si="72"/>
        <v>4751849.7880696943</v>
      </c>
      <c r="AV113" s="40">
        <f t="shared" si="72"/>
        <v>4575855.3514745198</v>
      </c>
      <c r="AW113" s="40">
        <f t="shared" si="72"/>
        <v>4399860.9148793453</v>
      </c>
    </row>
    <row r="114" spans="1:49" ht="8.1" customHeight="1" x14ac:dyDescent="0.2">
      <c r="D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</row>
    <row r="115" spans="1:49" hidden="1" x14ac:dyDescent="0.2">
      <c r="B115" s="27">
        <f>+B112</f>
        <v>1</v>
      </c>
      <c r="C115" s="28">
        <f>+$D$7</f>
        <v>39</v>
      </c>
      <c r="D115" s="27">
        <f>+D112+1</f>
        <v>31</v>
      </c>
      <c r="E115" s="29" t="s">
        <v>27</v>
      </c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29">
        <v>0</v>
      </c>
      <c r="AK115" s="35" t="e">
        <f>+$D116/$C115</f>
        <v>#REF!</v>
      </c>
      <c r="AL115" s="35" t="e">
        <f t="shared" ref="AL115:AW115" si="73">+$D116/$C115</f>
        <v>#REF!</v>
      </c>
      <c r="AM115" s="35" t="e">
        <f t="shared" si="73"/>
        <v>#REF!</v>
      </c>
      <c r="AN115" s="35" t="e">
        <f t="shared" si="73"/>
        <v>#REF!</v>
      </c>
      <c r="AO115" s="35" t="e">
        <f t="shared" si="73"/>
        <v>#REF!</v>
      </c>
      <c r="AP115" s="35" t="e">
        <f t="shared" si="73"/>
        <v>#REF!</v>
      </c>
      <c r="AQ115" s="35" t="e">
        <f t="shared" si="73"/>
        <v>#REF!</v>
      </c>
      <c r="AR115" s="35" t="e">
        <f t="shared" si="73"/>
        <v>#REF!</v>
      </c>
      <c r="AS115" s="35" t="e">
        <f t="shared" si="73"/>
        <v>#REF!</v>
      </c>
      <c r="AT115" s="35" t="e">
        <f t="shared" si="73"/>
        <v>#REF!</v>
      </c>
      <c r="AU115" s="35" t="e">
        <f t="shared" si="73"/>
        <v>#REF!</v>
      </c>
      <c r="AV115" s="35" t="e">
        <f t="shared" si="73"/>
        <v>#REF!</v>
      </c>
      <c r="AW115" s="35" t="e">
        <f t="shared" si="73"/>
        <v>#REF!</v>
      </c>
    </row>
    <row r="116" spans="1:49" hidden="1" x14ac:dyDescent="0.2">
      <c r="A116" s="27">
        <f>+A113</f>
        <v>1</v>
      </c>
      <c r="D116" s="39" t="e">
        <f>HLOOKUP(D115,$F$3:$AW$7,5)</f>
        <v>#REF!</v>
      </c>
      <c r="E116" s="29" t="s">
        <v>20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 t="e">
        <f>+$D116</f>
        <v>#REF!</v>
      </c>
      <c r="AK116" s="40" t="e">
        <f>+AJ116-AK115</f>
        <v>#REF!</v>
      </c>
      <c r="AL116" s="40" t="e">
        <f t="shared" ref="AL116:AW116" si="74">+AK116-AL115</f>
        <v>#REF!</v>
      </c>
      <c r="AM116" s="40" t="e">
        <f t="shared" si="74"/>
        <v>#REF!</v>
      </c>
      <c r="AN116" s="40" t="e">
        <f t="shared" si="74"/>
        <v>#REF!</v>
      </c>
      <c r="AO116" s="40" t="e">
        <f t="shared" si="74"/>
        <v>#REF!</v>
      </c>
      <c r="AP116" s="40" t="e">
        <f t="shared" si="74"/>
        <v>#REF!</v>
      </c>
      <c r="AQ116" s="40" t="e">
        <f t="shared" si="74"/>
        <v>#REF!</v>
      </c>
      <c r="AR116" s="40" t="e">
        <f t="shared" si="74"/>
        <v>#REF!</v>
      </c>
      <c r="AS116" s="40" t="e">
        <f t="shared" si="74"/>
        <v>#REF!</v>
      </c>
      <c r="AT116" s="40" t="e">
        <f t="shared" si="74"/>
        <v>#REF!</v>
      </c>
      <c r="AU116" s="40" t="e">
        <f t="shared" si="74"/>
        <v>#REF!</v>
      </c>
      <c r="AV116" s="40" t="e">
        <f t="shared" si="74"/>
        <v>#REF!</v>
      </c>
      <c r="AW116" s="40" t="e">
        <f t="shared" si="74"/>
        <v>#REF!</v>
      </c>
    </row>
    <row r="117" spans="1:49" ht="8.1" hidden="1" customHeight="1" x14ac:dyDescent="0.2">
      <c r="D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</row>
    <row r="118" spans="1:49" hidden="1" x14ac:dyDescent="0.2">
      <c r="B118" s="27">
        <f>+B115</f>
        <v>1</v>
      </c>
      <c r="C118" s="28">
        <f>+$D$7</f>
        <v>39</v>
      </c>
      <c r="D118" s="27">
        <f>+D115+1</f>
        <v>32</v>
      </c>
      <c r="E118" s="29" t="s">
        <v>27</v>
      </c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AA118" s="35"/>
      <c r="AB118" s="35"/>
      <c r="AC118" s="35"/>
      <c r="AD118" s="35"/>
      <c r="AE118" s="35"/>
      <c r="AF118" s="35"/>
      <c r="AG118" s="35"/>
      <c r="AH118" s="35"/>
      <c r="AI118" s="35"/>
      <c r="AK118" s="29">
        <v>0</v>
      </c>
      <c r="AL118" s="35" t="e">
        <f>+$D119/$C118</f>
        <v>#REF!</v>
      </c>
      <c r="AM118" s="35" t="e">
        <f t="shared" ref="AM118:AW118" si="75">+$D119/$C118</f>
        <v>#REF!</v>
      </c>
      <c r="AN118" s="35" t="e">
        <f t="shared" si="75"/>
        <v>#REF!</v>
      </c>
      <c r="AO118" s="35" t="e">
        <f t="shared" si="75"/>
        <v>#REF!</v>
      </c>
      <c r="AP118" s="35" t="e">
        <f t="shared" si="75"/>
        <v>#REF!</v>
      </c>
      <c r="AQ118" s="35" t="e">
        <f t="shared" si="75"/>
        <v>#REF!</v>
      </c>
      <c r="AR118" s="35" t="e">
        <f t="shared" si="75"/>
        <v>#REF!</v>
      </c>
      <c r="AS118" s="35" t="e">
        <f t="shared" si="75"/>
        <v>#REF!</v>
      </c>
      <c r="AT118" s="35" t="e">
        <f t="shared" si="75"/>
        <v>#REF!</v>
      </c>
      <c r="AU118" s="35" t="e">
        <f t="shared" si="75"/>
        <v>#REF!</v>
      </c>
      <c r="AV118" s="35" t="e">
        <f t="shared" si="75"/>
        <v>#REF!</v>
      </c>
      <c r="AW118" s="35" t="e">
        <f t="shared" si="75"/>
        <v>#REF!</v>
      </c>
    </row>
    <row r="119" spans="1:49" hidden="1" x14ac:dyDescent="0.2">
      <c r="A119" s="27">
        <f>+A116</f>
        <v>1</v>
      </c>
      <c r="D119" s="39" t="e">
        <f>HLOOKUP(D118,$F$3:$AW$7,5)</f>
        <v>#REF!</v>
      </c>
      <c r="E119" s="29" t="s">
        <v>20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 t="e">
        <f>+$D119</f>
        <v>#REF!</v>
      </c>
      <c r="AL119" s="40" t="e">
        <f>+AK119-AL118</f>
        <v>#REF!</v>
      </c>
      <c r="AM119" s="40" t="e">
        <f t="shared" ref="AM119:AW119" si="76">+AL119-AM118</f>
        <v>#REF!</v>
      </c>
      <c r="AN119" s="40" t="e">
        <f t="shared" si="76"/>
        <v>#REF!</v>
      </c>
      <c r="AO119" s="40" t="e">
        <f t="shared" si="76"/>
        <v>#REF!</v>
      </c>
      <c r="AP119" s="40" t="e">
        <f t="shared" si="76"/>
        <v>#REF!</v>
      </c>
      <c r="AQ119" s="40" t="e">
        <f t="shared" si="76"/>
        <v>#REF!</v>
      </c>
      <c r="AR119" s="40" t="e">
        <f t="shared" si="76"/>
        <v>#REF!</v>
      </c>
      <c r="AS119" s="40" t="e">
        <f t="shared" si="76"/>
        <v>#REF!</v>
      </c>
      <c r="AT119" s="40" t="e">
        <f t="shared" si="76"/>
        <v>#REF!</v>
      </c>
      <c r="AU119" s="40" t="e">
        <f t="shared" si="76"/>
        <v>#REF!</v>
      </c>
      <c r="AV119" s="40" t="e">
        <f t="shared" si="76"/>
        <v>#REF!</v>
      </c>
      <c r="AW119" s="40" t="e">
        <f t="shared" si="76"/>
        <v>#REF!</v>
      </c>
    </row>
    <row r="120" spans="1:49" ht="8.1" hidden="1" customHeight="1" x14ac:dyDescent="0.2">
      <c r="D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</row>
    <row r="121" spans="1:49" hidden="1" x14ac:dyDescent="0.2">
      <c r="B121" s="27">
        <f>+B118</f>
        <v>1</v>
      </c>
      <c r="C121" s="28">
        <f>+$D$7</f>
        <v>39</v>
      </c>
      <c r="D121" s="27">
        <f>+D118+1</f>
        <v>33</v>
      </c>
      <c r="E121" s="29" t="s">
        <v>27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L121" s="29">
        <v>0</v>
      </c>
      <c r="AM121" s="35" t="e">
        <f>+$D122/$C121</f>
        <v>#REF!</v>
      </c>
      <c r="AN121" s="35" t="e">
        <f t="shared" ref="AN121:AW121" si="77">+$D122/$C121</f>
        <v>#REF!</v>
      </c>
      <c r="AO121" s="35" t="e">
        <f t="shared" si="77"/>
        <v>#REF!</v>
      </c>
      <c r="AP121" s="35" t="e">
        <f t="shared" si="77"/>
        <v>#REF!</v>
      </c>
      <c r="AQ121" s="35" t="e">
        <f t="shared" si="77"/>
        <v>#REF!</v>
      </c>
      <c r="AR121" s="35" t="e">
        <f t="shared" si="77"/>
        <v>#REF!</v>
      </c>
      <c r="AS121" s="35" t="e">
        <f t="shared" si="77"/>
        <v>#REF!</v>
      </c>
      <c r="AT121" s="35" t="e">
        <f t="shared" si="77"/>
        <v>#REF!</v>
      </c>
      <c r="AU121" s="35" t="e">
        <f t="shared" si="77"/>
        <v>#REF!</v>
      </c>
      <c r="AV121" s="35" t="e">
        <f t="shared" si="77"/>
        <v>#REF!</v>
      </c>
      <c r="AW121" s="35" t="e">
        <f t="shared" si="77"/>
        <v>#REF!</v>
      </c>
    </row>
    <row r="122" spans="1:49" hidden="1" x14ac:dyDescent="0.2">
      <c r="A122" s="27">
        <f>+A119</f>
        <v>1</v>
      </c>
      <c r="D122" s="39" t="e">
        <f>HLOOKUP(D121,$F$3:$AW$7,5)</f>
        <v>#REF!</v>
      </c>
      <c r="E122" s="29" t="s">
        <v>20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L122" s="40" t="e">
        <f>+$D122</f>
        <v>#REF!</v>
      </c>
      <c r="AM122" s="40" t="e">
        <f>+AL122-AM121</f>
        <v>#REF!</v>
      </c>
      <c r="AN122" s="40" t="e">
        <f t="shared" ref="AN122:AW122" si="78">+AM122-AN121</f>
        <v>#REF!</v>
      </c>
      <c r="AO122" s="40" t="e">
        <f t="shared" si="78"/>
        <v>#REF!</v>
      </c>
      <c r="AP122" s="40" t="e">
        <f t="shared" si="78"/>
        <v>#REF!</v>
      </c>
      <c r="AQ122" s="40" t="e">
        <f t="shared" si="78"/>
        <v>#REF!</v>
      </c>
      <c r="AR122" s="40" t="e">
        <f t="shared" si="78"/>
        <v>#REF!</v>
      </c>
      <c r="AS122" s="40" t="e">
        <f t="shared" si="78"/>
        <v>#REF!</v>
      </c>
      <c r="AT122" s="40" t="e">
        <f t="shared" si="78"/>
        <v>#REF!</v>
      </c>
      <c r="AU122" s="40" t="e">
        <f t="shared" si="78"/>
        <v>#REF!</v>
      </c>
      <c r="AV122" s="40" t="e">
        <f t="shared" si="78"/>
        <v>#REF!</v>
      </c>
      <c r="AW122" s="40" t="e">
        <f t="shared" si="78"/>
        <v>#REF!</v>
      </c>
    </row>
    <row r="123" spans="1:49" ht="8.1" hidden="1" customHeight="1" x14ac:dyDescent="0.2">
      <c r="D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</row>
    <row r="124" spans="1:49" hidden="1" x14ac:dyDescent="0.2">
      <c r="B124" s="27">
        <f>+B121</f>
        <v>1</v>
      </c>
      <c r="C124" s="28">
        <f>+$D$7</f>
        <v>39</v>
      </c>
      <c r="D124" s="27">
        <f>+D121+1</f>
        <v>34</v>
      </c>
      <c r="E124" s="29" t="s">
        <v>27</v>
      </c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K124" s="35"/>
      <c r="AL124" s="35"/>
      <c r="AM124" s="29">
        <v>0</v>
      </c>
      <c r="AN124" s="35" t="e">
        <f>+$D125/$C124</f>
        <v>#REF!</v>
      </c>
      <c r="AO124" s="35" t="e">
        <f t="shared" ref="AO124:AW124" si="79">+$D125/$C124</f>
        <v>#REF!</v>
      </c>
      <c r="AP124" s="35" t="e">
        <f t="shared" si="79"/>
        <v>#REF!</v>
      </c>
      <c r="AQ124" s="35" t="e">
        <f t="shared" si="79"/>
        <v>#REF!</v>
      </c>
      <c r="AR124" s="35" t="e">
        <f t="shared" si="79"/>
        <v>#REF!</v>
      </c>
      <c r="AS124" s="35" t="e">
        <f t="shared" si="79"/>
        <v>#REF!</v>
      </c>
      <c r="AT124" s="35" t="e">
        <f t="shared" si="79"/>
        <v>#REF!</v>
      </c>
      <c r="AU124" s="35" t="e">
        <f t="shared" si="79"/>
        <v>#REF!</v>
      </c>
      <c r="AV124" s="35" t="e">
        <f t="shared" si="79"/>
        <v>#REF!</v>
      </c>
      <c r="AW124" s="35" t="e">
        <f t="shared" si="79"/>
        <v>#REF!</v>
      </c>
    </row>
    <row r="125" spans="1:49" hidden="1" x14ac:dyDescent="0.2">
      <c r="A125" s="27">
        <f>+A122</f>
        <v>1</v>
      </c>
      <c r="D125" s="39" t="e">
        <f>HLOOKUP(D124,$F$3:$AW$7,5)</f>
        <v>#REF!</v>
      </c>
      <c r="E125" s="29" t="s">
        <v>20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 t="e">
        <f>+$D125</f>
        <v>#REF!</v>
      </c>
      <c r="AN125" s="40" t="e">
        <f>+AM125-AN124</f>
        <v>#REF!</v>
      </c>
      <c r="AO125" s="40" t="e">
        <f t="shared" ref="AO125:AW125" si="80">+AN125-AO124</f>
        <v>#REF!</v>
      </c>
      <c r="AP125" s="40" t="e">
        <f t="shared" si="80"/>
        <v>#REF!</v>
      </c>
      <c r="AQ125" s="40" t="e">
        <f t="shared" si="80"/>
        <v>#REF!</v>
      </c>
      <c r="AR125" s="40" t="e">
        <f t="shared" si="80"/>
        <v>#REF!</v>
      </c>
      <c r="AS125" s="40" t="e">
        <f t="shared" si="80"/>
        <v>#REF!</v>
      </c>
      <c r="AT125" s="40" t="e">
        <f t="shared" si="80"/>
        <v>#REF!</v>
      </c>
      <c r="AU125" s="40" t="e">
        <f t="shared" si="80"/>
        <v>#REF!</v>
      </c>
      <c r="AV125" s="40" t="e">
        <f t="shared" si="80"/>
        <v>#REF!</v>
      </c>
      <c r="AW125" s="40" t="e">
        <f t="shared" si="80"/>
        <v>#REF!</v>
      </c>
    </row>
    <row r="126" spans="1:49" ht="8.1" hidden="1" customHeight="1" x14ac:dyDescent="0.2">
      <c r="D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</row>
    <row r="127" spans="1:49" hidden="1" x14ac:dyDescent="0.2">
      <c r="B127" s="27">
        <f>+B124</f>
        <v>1</v>
      </c>
      <c r="C127" s="28">
        <f>+$D$7</f>
        <v>39</v>
      </c>
      <c r="D127" s="27">
        <f>+D124+1</f>
        <v>35</v>
      </c>
      <c r="E127" s="29" t="s">
        <v>27</v>
      </c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K127" s="35"/>
      <c r="AL127" s="35"/>
      <c r="AN127" s="29">
        <v>0</v>
      </c>
      <c r="AO127" s="35" t="e">
        <f>+$D128/$C127</f>
        <v>#REF!</v>
      </c>
      <c r="AP127" s="35" t="e">
        <f t="shared" ref="AP127:AW127" si="81">+$D128/$C127</f>
        <v>#REF!</v>
      </c>
      <c r="AQ127" s="35" t="e">
        <f t="shared" si="81"/>
        <v>#REF!</v>
      </c>
      <c r="AR127" s="35" t="e">
        <f t="shared" si="81"/>
        <v>#REF!</v>
      </c>
      <c r="AS127" s="35" t="e">
        <f t="shared" si="81"/>
        <v>#REF!</v>
      </c>
      <c r="AT127" s="35" t="e">
        <f t="shared" si="81"/>
        <v>#REF!</v>
      </c>
      <c r="AU127" s="35" t="e">
        <f t="shared" si="81"/>
        <v>#REF!</v>
      </c>
      <c r="AV127" s="35" t="e">
        <f t="shared" si="81"/>
        <v>#REF!</v>
      </c>
      <c r="AW127" s="35" t="e">
        <f t="shared" si="81"/>
        <v>#REF!</v>
      </c>
    </row>
    <row r="128" spans="1:49" hidden="1" x14ac:dyDescent="0.2">
      <c r="A128" s="27">
        <f>+A125</f>
        <v>1</v>
      </c>
      <c r="D128" s="39" t="e">
        <f>HLOOKUP(D127,$F$3:$AW$7,5)</f>
        <v>#REF!</v>
      </c>
      <c r="E128" s="29" t="s">
        <v>20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N128" s="40" t="e">
        <f>+$D128</f>
        <v>#REF!</v>
      </c>
      <c r="AO128" s="40" t="e">
        <f>+AN128-AO127</f>
        <v>#REF!</v>
      </c>
      <c r="AP128" s="40" t="e">
        <f t="shared" ref="AP128:AW128" si="82">+AO128-AP127</f>
        <v>#REF!</v>
      </c>
      <c r="AQ128" s="40" t="e">
        <f t="shared" si="82"/>
        <v>#REF!</v>
      </c>
      <c r="AR128" s="40" t="e">
        <f t="shared" si="82"/>
        <v>#REF!</v>
      </c>
      <c r="AS128" s="40" t="e">
        <f t="shared" si="82"/>
        <v>#REF!</v>
      </c>
      <c r="AT128" s="40" t="e">
        <f t="shared" si="82"/>
        <v>#REF!</v>
      </c>
      <c r="AU128" s="40" t="e">
        <f t="shared" si="82"/>
        <v>#REF!</v>
      </c>
      <c r="AV128" s="40" t="e">
        <f t="shared" si="82"/>
        <v>#REF!</v>
      </c>
      <c r="AW128" s="40" t="e">
        <f t="shared" si="82"/>
        <v>#REF!</v>
      </c>
    </row>
    <row r="129" spans="1:49" ht="8.1" hidden="1" customHeight="1" x14ac:dyDescent="0.2">
      <c r="D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</row>
    <row r="130" spans="1:49" hidden="1" x14ac:dyDescent="0.2">
      <c r="B130" s="27">
        <f>+B127</f>
        <v>1</v>
      </c>
      <c r="C130" s="28">
        <f>+$D$7</f>
        <v>39</v>
      </c>
      <c r="D130" s="27">
        <f>+D127+1</f>
        <v>36</v>
      </c>
      <c r="E130" s="29" t="s">
        <v>27</v>
      </c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K130" s="35"/>
      <c r="AL130" s="35"/>
      <c r="AM130" s="35"/>
      <c r="AN130" s="35"/>
      <c r="AO130" s="29">
        <v>0</v>
      </c>
      <c r="AP130" s="35" t="e">
        <f>+$D131/$C130</f>
        <v>#REF!</v>
      </c>
      <c r="AQ130" s="35" t="e">
        <f t="shared" ref="AQ130:AW130" si="83">+$D131/$C130</f>
        <v>#REF!</v>
      </c>
      <c r="AR130" s="35" t="e">
        <f t="shared" si="83"/>
        <v>#REF!</v>
      </c>
      <c r="AS130" s="35" t="e">
        <f t="shared" si="83"/>
        <v>#REF!</v>
      </c>
      <c r="AT130" s="35" t="e">
        <f t="shared" si="83"/>
        <v>#REF!</v>
      </c>
      <c r="AU130" s="35" t="e">
        <f t="shared" si="83"/>
        <v>#REF!</v>
      </c>
      <c r="AV130" s="35" t="e">
        <f t="shared" si="83"/>
        <v>#REF!</v>
      </c>
      <c r="AW130" s="35" t="e">
        <f t="shared" si="83"/>
        <v>#REF!</v>
      </c>
    </row>
    <row r="131" spans="1:49" hidden="1" x14ac:dyDescent="0.2">
      <c r="A131" s="27">
        <f>+A128</f>
        <v>1</v>
      </c>
      <c r="D131" s="39" t="e">
        <f>HLOOKUP(D130,$F$3:$AW$7,5)</f>
        <v>#REF!</v>
      </c>
      <c r="E131" s="29" t="s">
        <v>20</v>
      </c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 t="e">
        <f>+$D131</f>
        <v>#REF!</v>
      </c>
      <c r="AP131" s="40" t="e">
        <f>+AO131-AP130</f>
        <v>#REF!</v>
      </c>
      <c r="AQ131" s="40" t="e">
        <f t="shared" ref="AQ131:AW131" si="84">+AP131-AQ130</f>
        <v>#REF!</v>
      </c>
      <c r="AR131" s="40" t="e">
        <f t="shared" si="84"/>
        <v>#REF!</v>
      </c>
      <c r="AS131" s="40" t="e">
        <f t="shared" si="84"/>
        <v>#REF!</v>
      </c>
      <c r="AT131" s="40" t="e">
        <f t="shared" si="84"/>
        <v>#REF!</v>
      </c>
      <c r="AU131" s="40" t="e">
        <f t="shared" si="84"/>
        <v>#REF!</v>
      </c>
      <c r="AV131" s="40" t="e">
        <f t="shared" si="84"/>
        <v>#REF!</v>
      </c>
      <c r="AW131" s="40" t="e">
        <f t="shared" si="84"/>
        <v>#REF!</v>
      </c>
    </row>
    <row r="132" spans="1:49" ht="8.1" hidden="1" customHeight="1" x14ac:dyDescent="0.2">
      <c r="D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P132" s="40"/>
      <c r="AQ132" s="40"/>
      <c r="AR132" s="40"/>
      <c r="AS132" s="40"/>
      <c r="AT132" s="40"/>
      <c r="AU132" s="40"/>
      <c r="AV132" s="40"/>
      <c r="AW132" s="40"/>
    </row>
    <row r="133" spans="1:49" hidden="1" x14ac:dyDescent="0.2">
      <c r="B133" s="27">
        <f>+B130</f>
        <v>1</v>
      </c>
      <c r="C133" s="28">
        <f>+$D$7</f>
        <v>39</v>
      </c>
      <c r="D133" s="27">
        <f>+D130+1</f>
        <v>37</v>
      </c>
      <c r="E133" s="29" t="s">
        <v>27</v>
      </c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K133" s="35"/>
      <c r="AL133" s="35"/>
      <c r="AM133" s="35"/>
      <c r="AN133" s="35"/>
      <c r="AP133" s="29">
        <v>0</v>
      </c>
      <c r="AQ133" s="35" t="e">
        <f>+$D134/$C133</f>
        <v>#REF!</v>
      </c>
      <c r="AR133" s="35" t="e">
        <f t="shared" ref="AR133:AW133" si="85">+$D134/$C133</f>
        <v>#REF!</v>
      </c>
      <c r="AS133" s="35" t="e">
        <f t="shared" si="85"/>
        <v>#REF!</v>
      </c>
      <c r="AT133" s="35" t="e">
        <f t="shared" si="85"/>
        <v>#REF!</v>
      </c>
      <c r="AU133" s="35" t="e">
        <f t="shared" si="85"/>
        <v>#REF!</v>
      </c>
      <c r="AV133" s="35" t="e">
        <f t="shared" si="85"/>
        <v>#REF!</v>
      </c>
      <c r="AW133" s="35" t="e">
        <f t="shared" si="85"/>
        <v>#REF!</v>
      </c>
    </row>
    <row r="134" spans="1:49" hidden="1" x14ac:dyDescent="0.2">
      <c r="A134" s="27">
        <f>+A131</f>
        <v>1</v>
      </c>
      <c r="D134" s="39" t="e">
        <f>HLOOKUP(D133,$F$3:$AW$7,5)</f>
        <v>#REF!</v>
      </c>
      <c r="E134" s="29" t="s">
        <v>20</v>
      </c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P134" s="40" t="e">
        <f>+$D134</f>
        <v>#REF!</v>
      </c>
      <c r="AQ134" s="40" t="e">
        <f>+AP134-AQ133</f>
        <v>#REF!</v>
      </c>
      <c r="AR134" s="40" t="e">
        <f t="shared" ref="AR134:AW134" si="86">+AQ134-AR133</f>
        <v>#REF!</v>
      </c>
      <c r="AS134" s="40" t="e">
        <f t="shared" si="86"/>
        <v>#REF!</v>
      </c>
      <c r="AT134" s="40" t="e">
        <f t="shared" si="86"/>
        <v>#REF!</v>
      </c>
      <c r="AU134" s="40" t="e">
        <f t="shared" si="86"/>
        <v>#REF!</v>
      </c>
      <c r="AV134" s="40" t="e">
        <f t="shared" si="86"/>
        <v>#REF!</v>
      </c>
      <c r="AW134" s="40" t="e">
        <f t="shared" si="86"/>
        <v>#REF!</v>
      </c>
    </row>
    <row r="135" spans="1:49" ht="8.1" hidden="1" customHeight="1" x14ac:dyDescent="0.2">
      <c r="D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</row>
    <row r="136" spans="1:49" hidden="1" x14ac:dyDescent="0.2">
      <c r="B136" s="27">
        <f>+B133</f>
        <v>1</v>
      </c>
      <c r="C136" s="28">
        <f>+$D$7</f>
        <v>39</v>
      </c>
      <c r="D136" s="27">
        <f>+D133+1</f>
        <v>38</v>
      </c>
      <c r="E136" s="29" t="s">
        <v>27</v>
      </c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K136" s="35"/>
      <c r="AL136" s="35"/>
      <c r="AM136" s="35"/>
      <c r="AN136" s="35"/>
      <c r="AO136" s="35"/>
      <c r="AP136" s="35"/>
      <c r="AQ136" s="29">
        <v>0</v>
      </c>
      <c r="AR136" s="35" t="e">
        <f t="shared" ref="AR136:AW136" si="87">+$D137/$C136</f>
        <v>#REF!</v>
      </c>
      <c r="AS136" s="35" t="e">
        <f t="shared" si="87"/>
        <v>#REF!</v>
      </c>
      <c r="AT136" s="35" t="e">
        <f t="shared" si="87"/>
        <v>#REF!</v>
      </c>
      <c r="AU136" s="35" t="e">
        <f t="shared" si="87"/>
        <v>#REF!</v>
      </c>
      <c r="AV136" s="35" t="e">
        <f t="shared" si="87"/>
        <v>#REF!</v>
      </c>
      <c r="AW136" s="35" t="e">
        <f t="shared" si="87"/>
        <v>#REF!</v>
      </c>
    </row>
    <row r="137" spans="1:49" hidden="1" x14ac:dyDescent="0.2">
      <c r="A137" s="27">
        <f>+A134</f>
        <v>1</v>
      </c>
      <c r="D137" s="39" t="e">
        <f>HLOOKUP(D136,$F$3:$AW$7,5)</f>
        <v>#REF!</v>
      </c>
      <c r="E137" s="29" t="s">
        <v>20</v>
      </c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 t="e">
        <f>+$D137</f>
        <v>#REF!</v>
      </c>
      <c r="AR137" s="40" t="e">
        <f t="shared" ref="AR137:AW137" si="88">+AQ137-AR136</f>
        <v>#REF!</v>
      </c>
      <c r="AS137" s="40" t="e">
        <f t="shared" si="88"/>
        <v>#REF!</v>
      </c>
      <c r="AT137" s="40" t="e">
        <f t="shared" si="88"/>
        <v>#REF!</v>
      </c>
      <c r="AU137" s="40" t="e">
        <f t="shared" si="88"/>
        <v>#REF!</v>
      </c>
      <c r="AV137" s="40" t="e">
        <f t="shared" si="88"/>
        <v>#REF!</v>
      </c>
      <c r="AW137" s="40" t="e">
        <f t="shared" si="88"/>
        <v>#REF!</v>
      </c>
    </row>
    <row r="138" spans="1:49" ht="8.1" hidden="1" customHeight="1" x14ac:dyDescent="0.2">
      <c r="D138" s="39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R138" s="40"/>
      <c r="AS138" s="40"/>
      <c r="AT138" s="40"/>
      <c r="AU138" s="40"/>
      <c r="AV138" s="40"/>
      <c r="AW138" s="40"/>
    </row>
    <row r="139" spans="1:49" hidden="1" x14ac:dyDescent="0.2">
      <c r="B139" s="27">
        <f>+B136</f>
        <v>1</v>
      </c>
      <c r="C139" s="28">
        <f>+$D$7</f>
        <v>39</v>
      </c>
      <c r="D139" s="27">
        <f>+D136+1</f>
        <v>39</v>
      </c>
      <c r="E139" s="29" t="s">
        <v>27</v>
      </c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K139" s="35"/>
      <c r="AL139" s="35"/>
      <c r="AM139" s="35"/>
      <c r="AN139" s="35"/>
      <c r="AO139" s="35"/>
      <c r="AP139" s="35"/>
      <c r="AR139" s="29">
        <v>0</v>
      </c>
      <c r="AS139" s="35" t="e">
        <f>+$D140/$C139</f>
        <v>#REF!</v>
      </c>
      <c r="AT139" s="35" t="e">
        <f>+$D140/$C139</f>
        <v>#REF!</v>
      </c>
      <c r="AU139" s="35" t="e">
        <f>+$D140/$C139</f>
        <v>#REF!</v>
      </c>
      <c r="AV139" s="35" t="e">
        <f>+$D140/$C139</f>
        <v>#REF!</v>
      </c>
      <c r="AW139" s="35" t="e">
        <f>+$D140/$C139</f>
        <v>#REF!</v>
      </c>
    </row>
    <row r="140" spans="1:49" hidden="1" x14ac:dyDescent="0.2">
      <c r="A140" s="27">
        <f>+A137</f>
        <v>1</v>
      </c>
      <c r="D140" s="39" t="e">
        <f>HLOOKUP(D139,$F$3:$AW$7,5)</f>
        <v>#REF!</v>
      </c>
      <c r="E140" s="29" t="s">
        <v>20</v>
      </c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R140" s="40" t="e">
        <f>+$D140</f>
        <v>#REF!</v>
      </c>
      <c r="AS140" s="40" t="e">
        <f>+AR140-AS139</f>
        <v>#REF!</v>
      </c>
      <c r="AT140" s="40" t="e">
        <f>+AS140-AT139</f>
        <v>#REF!</v>
      </c>
      <c r="AU140" s="40" t="e">
        <f>+AT140-AU139</f>
        <v>#REF!</v>
      </c>
      <c r="AV140" s="40" t="e">
        <f>+AU140-AV139</f>
        <v>#REF!</v>
      </c>
      <c r="AW140" s="40" t="e">
        <f>+AV140-AW139</f>
        <v>#REF!</v>
      </c>
    </row>
    <row r="141" spans="1:49" ht="8.1" hidden="1" customHeight="1" x14ac:dyDescent="0.2">
      <c r="D141" s="39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</row>
    <row r="142" spans="1:49" hidden="1" x14ac:dyDescent="0.2">
      <c r="B142" s="27">
        <f>+B139</f>
        <v>1</v>
      </c>
      <c r="C142" s="28">
        <f>+$D$7</f>
        <v>39</v>
      </c>
      <c r="D142" s="27">
        <f>+D139+1</f>
        <v>40</v>
      </c>
      <c r="E142" s="29" t="s">
        <v>27</v>
      </c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K142" s="35"/>
      <c r="AL142" s="35"/>
      <c r="AM142" s="35"/>
      <c r="AN142" s="35"/>
      <c r="AO142" s="35"/>
      <c r="AP142" s="35"/>
      <c r="AQ142" s="35"/>
      <c r="AR142" s="35"/>
      <c r="AS142" s="29">
        <v>0</v>
      </c>
      <c r="AT142" s="35" t="e">
        <f>+$D143/$C142</f>
        <v>#REF!</v>
      </c>
      <c r="AU142" s="35" t="e">
        <f>+$D143/$C142</f>
        <v>#REF!</v>
      </c>
      <c r="AV142" s="35" t="e">
        <f>+$D143/$C142</f>
        <v>#REF!</v>
      </c>
      <c r="AW142" s="35" t="e">
        <f>+$D143/$C142</f>
        <v>#REF!</v>
      </c>
    </row>
    <row r="143" spans="1:49" hidden="1" x14ac:dyDescent="0.2">
      <c r="A143" s="27">
        <f>+A140</f>
        <v>1</v>
      </c>
      <c r="D143" s="39" t="e">
        <f>HLOOKUP(D142,$F$3:$AW$7,5)</f>
        <v>#REF!</v>
      </c>
      <c r="E143" s="29" t="s">
        <v>20</v>
      </c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 t="e">
        <f>+$D143</f>
        <v>#REF!</v>
      </c>
      <c r="AT143" s="40" t="e">
        <f>+AS143-AT142</f>
        <v>#REF!</v>
      </c>
      <c r="AU143" s="40" t="e">
        <f>+AT143-AU142</f>
        <v>#REF!</v>
      </c>
      <c r="AV143" s="40" t="e">
        <f>+AU143-AV142</f>
        <v>#REF!</v>
      </c>
      <c r="AW143" s="40" t="e">
        <f>+AV143-AW142</f>
        <v>#REF!</v>
      </c>
    </row>
    <row r="144" spans="1:49" ht="8.1" hidden="1" customHeight="1" x14ac:dyDescent="0.2">
      <c r="D144" s="39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</row>
    <row r="145" spans="1:49" hidden="1" x14ac:dyDescent="0.2">
      <c r="B145" s="27">
        <f>+B142</f>
        <v>1</v>
      </c>
      <c r="C145" s="28">
        <f>+$D$7</f>
        <v>39</v>
      </c>
      <c r="D145" s="27">
        <f>+D142+1</f>
        <v>41</v>
      </c>
      <c r="E145" s="29" t="s">
        <v>27</v>
      </c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29">
        <v>0</v>
      </c>
      <c r="AU145" s="35" t="e">
        <f>+$D146/$C145</f>
        <v>#REF!</v>
      </c>
      <c r="AV145" s="35" t="e">
        <f>+$D146/$C145</f>
        <v>#REF!</v>
      </c>
      <c r="AW145" s="35" t="e">
        <f>+$D146/$C145</f>
        <v>#REF!</v>
      </c>
    </row>
    <row r="146" spans="1:49" hidden="1" x14ac:dyDescent="0.2">
      <c r="A146" s="27">
        <f>+A143</f>
        <v>1</v>
      </c>
      <c r="D146" s="39" t="e">
        <f>HLOOKUP(D145,$F$3:$AW$7,5)</f>
        <v>#REF!</v>
      </c>
      <c r="E146" s="29" t="s">
        <v>20</v>
      </c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 t="e">
        <f>+$D146</f>
        <v>#REF!</v>
      </c>
      <c r="AU146" s="40" t="e">
        <f>+AT146-AU145</f>
        <v>#REF!</v>
      </c>
      <c r="AV146" s="40" t="e">
        <f>+AU146-AV145</f>
        <v>#REF!</v>
      </c>
      <c r="AW146" s="40" t="e">
        <f>+AV146-AW145</f>
        <v>#REF!</v>
      </c>
    </row>
    <row r="147" spans="1:49" ht="8.1" hidden="1" customHeight="1" x14ac:dyDescent="0.2">
      <c r="D147" s="39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</row>
    <row r="148" spans="1:49" hidden="1" x14ac:dyDescent="0.2">
      <c r="B148" s="27">
        <f>+B145</f>
        <v>1</v>
      </c>
      <c r="C148" s="28">
        <f>+$D$7</f>
        <v>39</v>
      </c>
      <c r="D148" s="27">
        <f>+D145+1</f>
        <v>42</v>
      </c>
      <c r="E148" s="29" t="s">
        <v>27</v>
      </c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K148" s="35"/>
      <c r="AL148" s="35"/>
      <c r="AM148" s="35"/>
      <c r="AN148" s="35"/>
      <c r="AO148" s="35"/>
      <c r="AP148" s="35"/>
      <c r="AQ148" s="35"/>
      <c r="AR148" s="35"/>
      <c r="AS148" s="35"/>
      <c r="AU148" s="29">
        <v>0</v>
      </c>
      <c r="AV148" s="35" t="e">
        <f>+$D149/$C148</f>
        <v>#REF!</v>
      </c>
      <c r="AW148" s="35" t="e">
        <f>+$D149/$C148</f>
        <v>#REF!</v>
      </c>
    </row>
    <row r="149" spans="1:49" hidden="1" x14ac:dyDescent="0.2">
      <c r="A149" s="27">
        <f>+A146</f>
        <v>1</v>
      </c>
      <c r="D149" s="39" t="e">
        <f>HLOOKUP(D148,$F$3:$AW$7,5)</f>
        <v>#REF!</v>
      </c>
      <c r="E149" s="29" t="s">
        <v>20</v>
      </c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 t="e">
        <f>+$D149</f>
        <v>#REF!</v>
      </c>
      <c r="AV149" s="40" t="e">
        <f>+AU149-AV148</f>
        <v>#REF!</v>
      </c>
      <c r="AW149" s="40" t="e">
        <f>+AV149-AW148</f>
        <v>#REF!</v>
      </c>
    </row>
    <row r="150" spans="1:49" ht="8.1" hidden="1" customHeight="1" x14ac:dyDescent="0.2">
      <c r="D150" s="39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V150" s="40"/>
      <c r="AW150" s="40"/>
    </row>
    <row r="151" spans="1:49" hidden="1" x14ac:dyDescent="0.2">
      <c r="B151" s="27">
        <f>+B148</f>
        <v>1</v>
      </c>
      <c r="C151" s="28">
        <f>+$D$7</f>
        <v>39</v>
      </c>
      <c r="D151" s="27">
        <f>+D148+1</f>
        <v>43</v>
      </c>
      <c r="E151" s="29" t="s">
        <v>27</v>
      </c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V151" s="29">
        <v>0</v>
      </c>
      <c r="AW151" s="35" t="e">
        <f>+$D152/$C151</f>
        <v>#REF!</v>
      </c>
    </row>
    <row r="152" spans="1:49" hidden="1" x14ac:dyDescent="0.2">
      <c r="A152" s="27">
        <f>+A149</f>
        <v>1</v>
      </c>
      <c r="D152" s="39" t="e">
        <f>HLOOKUP(D151,$F$3:$AW$7,5)</f>
        <v>#REF!</v>
      </c>
      <c r="E152" s="29" t="s">
        <v>20</v>
      </c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V152" s="40" t="e">
        <f>+$D152</f>
        <v>#REF!</v>
      </c>
      <c r="AW152" s="40" t="e">
        <f>+AV152-AW151</f>
        <v>#REF!</v>
      </c>
    </row>
    <row r="153" spans="1:49" ht="8.1" hidden="1" customHeight="1" x14ac:dyDescent="0.2">
      <c r="D153" s="39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</row>
    <row r="154" spans="1:49" hidden="1" x14ac:dyDescent="0.2">
      <c r="B154" s="27">
        <f>+B151</f>
        <v>1</v>
      </c>
      <c r="C154" s="28">
        <f>+$D$7</f>
        <v>39</v>
      </c>
      <c r="D154" s="27">
        <f>+D151+1</f>
        <v>44</v>
      </c>
      <c r="E154" s="29" t="s">
        <v>27</v>
      </c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U154" s="35"/>
      <c r="AV154" s="35"/>
      <c r="AW154" s="29">
        <v>0</v>
      </c>
    </row>
    <row r="155" spans="1:49" hidden="1" x14ac:dyDescent="0.2">
      <c r="A155" s="27">
        <f>+A152</f>
        <v>1</v>
      </c>
      <c r="D155" s="39" t="e">
        <f>HLOOKUP(D154,$F$3:$AW$7,5)</f>
        <v>#REF!</v>
      </c>
      <c r="E155" s="29" t="s">
        <v>20</v>
      </c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 t="e">
        <f>+$D155</f>
        <v>#REF!</v>
      </c>
    </row>
    <row r="156" spans="1:49" ht="8.1" customHeight="1" x14ac:dyDescent="0.2"/>
    <row r="157" spans="1:49" s="292" customFormat="1" x14ac:dyDescent="0.2">
      <c r="A157" s="290"/>
      <c r="B157" s="290"/>
      <c r="C157" s="291"/>
      <c r="F157" s="292">
        <f>F10</f>
        <v>400000000</v>
      </c>
      <c r="G157" s="292">
        <f t="shared" ref="G157:AI157" si="89">G10</f>
        <v>389743589.74358976</v>
      </c>
      <c r="H157" s="292">
        <f t="shared" si="89"/>
        <v>382487179.48717952</v>
      </c>
      <c r="I157" s="292">
        <f t="shared" si="89"/>
        <v>375243846.1538462</v>
      </c>
      <c r="J157" s="292">
        <f t="shared" si="89"/>
        <v>368013982.05128211</v>
      </c>
      <c r="K157" s="292">
        <f t="shared" si="89"/>
        <v>360797991.2564103</v>
      </c>
      <c r="L157" s="292">
        <f t="shared" si="89"/>
        <v>353596289.96846157</v>
      </c>
      <c r="M157" s="292">
        <f t="shared" si="89"/>
        <v>346409306.87264359</v>
      </c>
      <c r="N157" s="292">
        <f t="shared" si="89"/>
        <v>339237483.51472032</v>
      </c>
      <c r="O157" s="292">
        <f t="shared" si="89"/>
        <v>332081274.68682861</v>
      </c>
      <c r="P157" s="292">
        <f t="shared" si="89"/>
        <v>324941148.82486939</v>
      </c>
      <c r="Q157" s="292">
        <f t="shared" si="89"/>
        <v>317817588.41782063</v>
      </c>
      <c r="R157" s="292">
        <f t="shared" si="89"/>
        <v>310711090.42932963</v>
      </c>
      <c r="S157" s="292">
        <f t="shared" si="89"/>
        <v>303622166.73195308</v>
      </c>
      <c r="T157" s="292">
        <f t="shared" si="89"/>
        <v>296551344.55442452</v>
      </c>
      <c r="U157" s="292">
        <f t="shared" si="89"/>
        <v>289499166.9423393</v>
      </c>
      <c r="V157" s="292">
        <f t="shared" si="89"/>
        <v>282466193.23266077</v>
      </c>
      <c r="W157" s="292">
        <f t="shared" si="89"/>
        <v>275452999.5424611</v>
      </c>
      <c r="X157" s="292">
        <f t="shared" si="89"/>
        <v>268460179.27232468</v>
      </c>
      <c r="Y157" s="292">
        <f t="shared" si="89"/>
        <v>261488343.62485337</v>
      </c>
      <c r="Z157" s="292">
        <f t="shared" si="89"/>
        <v>254538122.13872719</v>
      </c>
      <c r="AA157" s="292">
        <f t="shared" si="89"/>
        <v>247610163.23878643</v>
      </c>
      <c r="AB157" s="292">
        <f t="shared" si="89"/>
        <v>240705134.80261669</v>
      </c>
      <c r="AC157" s="292">
        <f t="shared" si="89"/>
        <v>233823724.74413109</v>
      </c>
      <c r="AD157" s="292">
        <f t="shared" si="89"/>
        <v>226966641.61466014</v>
      </c>
      <c r="AE157" s="292">
        <f t="shared" si="89"/>
        <v>220134615.22207433</v>
      </c>
      <c r="AF157" s="292">
        <f t="shared" si="89"/>
        <v>213328397.26848015</v>
      </c>
      <c r="AG157" s="292">
        <f t="shared" si="89"/>
        <v>206548762.00704738</v>
      </c>
      <c r="AH157" s="292">
        <f t="shared" si="89"/>
        <v>199796506.91854087</v>
      </c>
      <c r="AI157" s="292">
        <f t="shared" si="89"/>
        <v>193072453.40814835</v>
      </c>
    </row>
    <row r="158" spans="1:49" s="292" customFormat="1" x14ac:dyDescent="0.2">
      <c r="A158" s="290"/>
      <c r="B158" s="290"/>
      <c r="C158" s="291"/>
      <c r="E158" s="292">
        <v>2.5000000000000001E-2</v>
      </c>
      <c r="F158" s="292">
        <f>F157*$E$158</f>
        <v>10000000</v>
      </c>
      <c r="G158" s="292">
        <f>G157*$E$158</f>
        <v>9743589.743589744</v>
      </c>
      <c r="H158" s="292">
        <f t="shared" ref="H158:AI158" si="90">H157*$E$158</f>
        <v>9562179.4871794879</v>
      </c>
      <c r="I158" s="292">
        <f t="shared" si="90"/>
        <v>9381096.1538461559</v>
      </c>
      <c r="J158" s="292">
        <f t="shared" si="90"/>
        <v>9200349.5512820538</v>
      </c>
      <c r="K158" s="292">
        <f t="shared" si="90"/>
        <v>9019949.7814102583</v>
      </c>
      <c r="L158" s="292">
        <f t="shared" si="90"/>
        <v>8839907.2492115404</v>
      </c>
      <c r="M158" s="292">
        <f t="shared" si="90"/>
        <v>8660232.6718160901</v>
      </c>
      <c r="N158" s="292">
        <f t="shared" si="90"/>
        <v>8480937.0878680088</v>
      </c>
      <c r="O158" s="292">
        <f t="shared" si="90"/>
        <v>8302031.8671707157</v>
      </c>
      <c r="P158" s="292">
        <f t="shared" si="90"/>
        <v>8123528.7206217349</v>
      </c>
      <c r="Q158" s="292">
        <f t="shared" si="90"/>
        <v>7945439.7104455158</v>
      </c>
      <c r="R158" s="292">
        <f t="shared" si="90"/>
        <v>7767777.2607332412</v>
      </c>
      <c r="S158" s="292">
        <f t="shared" si="90"/>
        <v>7590554.1682988275</v>
      </c>
      <c r="T158" s="292">
        <f t="shared" si="90"/>
        <v>7413783.6138606137</v>
      </c>
      <c r="U158" s="292">
        <f t="shared" si="90"/>
        <v>7237479.1735584829</v>
      </c>
      <c r="V158" s="292">
        <f t="shared" si="90"/>
        <v>7061654.8308165194</v>
      </c>
      <c r="W158" s="292">
        <f t="shared" si="90"/>
        <v>6886324.9885615278</v>
      </c>
      <c r="X158" s="292">
        <f t="shared" si="90"/>
        <v>6711504.4818081176</v>
      </c>
      <c r="Y158" s="292">
        <f t="shared" si="90"/>
        <v>6537208.5906213345</v>
      </c>
      <c r="Z158" s="292">
        <f t="shared" si="90"/>
        <v>6363453.0534681799</v>
      </c>
      <c r="AA158" s="292">
        <f t="shared" si="90"/>
        <v>6190254.0809696615</v>
      </c>
      <c r="AB158" s="292">
        <f t="shared" si="90"/>
        <v>6017628.3700654171</v>
      </c>
      <c r="AC158" s="292">
        <f t="shared" si="90"/>
        <v>5845593.118603278</v>
      </c>
      <c r="AD158" s="292">
        <f t="shared" si="90"/>
        <v>5674166.0403665043</v>
      </c>
      <c r="AE158" s="292">
        <f t="shared" si="90"/>
        <v>5503365.3805518588</v>
      </c>
      <c r="AF158" s="292">
        <f t="shared" si="90"/>
        <v>5333209.9317120044</v>
      </c>
      <c r="AG158" s="292">
        <f t="shared" si="90"/>
        <v>5163719.0501761846</v>
      </c>
      <c r="AH158" s="292">
        <f t="shared" si="90"/>
        <v>4994912.6729635214</v>
      </c>
      <c r="AI158" s="292">
        <f t="shared" si="90"/>
        <v>4826811.3352037091</v>
      </c>
    </row>
    <row r="159" spans="1:49" s="295" customFormat="1" x14ac:dyDescent="0.2">
      <c r="A159" s="293"/>
      <c r="B159" s="293"/>
      <c r="C159" s="294"/>
    </row>
    <row r="160" spans="1:49" s="295" customFormat="1" x14ac:dyDescent="0.2">
      <c r="A160" s="293"/>
      <c r="B160" s="293"/>
      <c r="C160" s="294"/>
    </row>
    <row r="161" spans="1:3" s="295" customFormat="1" x14ac:dyDescent="0.2">
      <c r="A161" s="293"/>
      <c r="B161" s="293"/>
      <c r="C161" s="294"/>
    </row>
  </sheetData>
  <pageMargins left="0.45" right="0.45" top="0.75" bottom="0.75" header="0.3" footer="0.3"/>
  <pageSetup scale="85" pageOrder="overThenDown" orientation="landscape" horizontalDpi="1200" verticalDpi="1200" r:id="rId1"/>
  <headerFooter>
    <oddHeader>&amp;CDraft Book Depreciation, As of September 19, 2013</oddHeader>
    <oddFooter>&amp;CDraft Book Depreciation, As of September 19, 2013, Page &amp;P</oddFooter>
  </headerFooter>
  <rowBreaks count="1" manualBreakCount="1">
    <brk id="57" min="3" max="34" man="1"/>
  </rowBreaks>
  <colBreaks count="2" manualBreakCount="2">
    <brk id="14" max="112" man="1"/>
    <brk id="26" max="1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48</vt:i4>
      </vt:variant>
    </vt:vector>
  </HeadingPairs>
  <TitlesOfParts>
    <vt:vector size="55" baseType="lpstr">
      <vt:lpstr>Inputs </vt:lpstr>
      <vt:lpstr>Purchase Price and DS Calcs</vt:lpstr>
      <vt:lpstr>Current PPA Cost</vt:lpstr>
      <vt:lpstr>Prepay Calculation</vt:lpstr>
      <vt:lpstr>Conduit EBITDA and CF</vt:lpstr>
      <vt:lpstr>GRU Benefit</vt:lpstr>
      <vt:lpstr>EQ BOOK DEPR</vt:lpstr>
      <vt:lpstr>adminfee</vt:lpstr>
      <vt:lpstr>adminfeegrowthrate</vt:lpstr>
      <vt:lpstr>AnnualCapitalInvestment</vt:lpstr>
      <vt:lpstr>Availability__Base_case</vt:lpstr>
      <vt:lpstr>COIUDPercent</vt:lpstr>
      <vt:lpstr>Equitypartofstructure</vt:lpstr>
      <vt:lpstr>equityrate</vt:lpstr>
      <vt:lpstr>equityTerm</vt:lpstr>
      <vt:lpstr>ExpectedAvailability</vt:lpstr>
      <vt:lpstr>ExpectedCapacity</vt:lpstr>
      <vt:lpstr>GRECongoingcapitalInvestments</vt:lpstr>
      <vt:lpstr>GrossPurchasePrice</vt:lpstr>
      <vt:lpstr>GRUBudgetedGRECCost</vt:lpstr>
      <vt:lpstr>GRUPercentEquity</vt:lpstr>
      <vt:lpstr>MarketPriceGrowthRt</vt:lpstr>
      <vt:lpstr>MarketPriceofPower</vt:lpstr>
      <vt:lpstr>NPVtoGRURate</vt:lpstr>
      <vt:lpstr>OandMLOCAmount</vt:lpstr>
      <vt:lpstr>OandMLOCFee</vt:lpstr>
      <vt:lpstr>ParketPriceGrowthRate</vt:lpstr>
      <vt:lpstr>PrepayCostperMwHGenerationChange</vt:lpstr>
      <vt:lpstr>Prepaydiscountrate</vt:lpstr>
      <vt:lpstr>Prepaypartofstructure</vt:lpstr>
      <vt:lpstr>prepayrate</vt:lpstr>
      <vt:lpstr>prepayTerm</vt:lpstr>
      <vt:lpstr>'Conduit EBITDA and CF'!Print_Area</vt:lpstr>
      <vt:lpstr>'Current PPA Cost'!Print_Area</vt:lpstr>
      <vt:lpstr>'EQ BOOK DEPR'!Print_Area</vt:lpstr>
      <vt:lpstr>'GRU Benefit'!Print_Area</vt:lpstr>
      <vt:lpstr>'Inputs '!Print_Area</vt:lpstr>
      <vt:lpstr>'Prepay Calculation'!Print_Area</vt:lpstr>
      <vt:lpstr>'Purchase Price and DS Calcs'!Print_Area</vt:lpstr>
      <vt:lpstr>'Conduit EBITDA and CF'!Print_Titles</vt:lpstr>
      <vt:lpstr>'Current PPA Cost'!Print_Titles</vt:lpstr>
      <vt:lpstr>'EQ BOOK DEPR'!Print_Titles</vt:lpstr>
      <vt:lpstr>'GRU Benefit'!Print_Titles</vt:lpstr>
      <vt:lpstr>'Prepay Calculation'!Print_Titles</vt:lpstr>
      <vt:lpstr>RECs</vt:lpstr>
      <vt:lpstr>RECsGrowthRate</vt:lpstr>
      <vt:lpstr>RevRecIntRate</vt:lpstr>
      <vt:lpstr>revrecterm</vt:lpstr>
      <vt:lpstr>ScenarioAvailability</vt:lpstr>
      <vt:lpstr>ScenarioCapacity</vt:lpstr>
      <vt:lpstr>taxablepercentequity</vt:lpstr>
      <vt:lpstr>Updated1603GrantMay</vt:lpstr>
      <vt:lpstr>UpdatedInsuranceMay</vt:lpstr>
      <vt:lpstr>UpdatedOandMMay</vt:lpstr>
      <vt:lpstr>UpdatedTaxesMay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PFM</dc:creator>
  <cp:lastModifiedBy>Bell, Amelia S</cp:lastModifiedBy>
  <cp:lastPrinted>2013-09-23T10:40:40Z</cp:lastPrinted>
  <dcterms:created xsi:type="dcterms:W3CDTF">2003-04-07T16:42:39Z</dcterms:created>
  <dcterms:modified xsi:type="dcterms:W3CDTF">2013-09-24T18:58:10Z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>PFMTAGGERNEWDOCUMENT</vt:lpwstr>
  </property>
</Properties>
</file>